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0"/>
  <workbookPr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5/Issue 2/Ridolfi/Ridolfi proof4/332-production-ready-files/"/>
    </mc:Choice>
  </mc:AlternateContent>
  <xr:revisionPtr revIDLastSave="0" documentId="13_ncr:1_{E9D0AB60-A049-7E40-8A9F-1364E297F2E8}" xr6:coauthVersionLast="47" xr6:coauthVersionMax="47" xr10:uidLastSave="{00000000-0000-0000-0000-000000000000}"/>
  <bookViews>
    <workbookView xWindow="0" yWindow="500" windowWidth="29040" windowHeight="15720" tabRatio="715" firstSheet="1" activeTab="1" xr2:uid="{00000000-000D-0000-FFFF-FFFF00000000}"/>
  </bookViews>
  <sheets>
    <sheet name="Data" sheetId="1" r:id="rId1"/>
    <sheet name="Info" sheetId="81" r:id="rId2"/>
    <sheet name="Data and calc." sheetId="4" r:id="rId3"/>
    <sheet name="Weights" sheetId="5" state="hidden" r:id="rId4"/>
    <sheet name="Eq. 3 coef." sheetId="53" r:id="rId5"/>
    <sheet name="Eq. 4 coef." sheetId="5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9" i="4" l="1"/>
  <c r="O99" i="4"/>
  <c r="G99" i="4"/>
  <c r="B99" i="4"/>
  <c r="F123" i="4"/>
  <c r="F122" i="4"/>
  <c r="F121" i="4"/>
  <c r="F120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92" i="4"/>
  <c r="F91" i="4"/>
  <c r="F90" i="4"/>
  <c r="F88" i="4"/>
  <c r="F86" i="4"/>
  <c r="F85" i="4"/>
  <c r="F84" i="4"/>
  <c r="F83" i="4"/>
  <c r="F81" i="4"/>
  <c r="F80" i="4"/>
  <c r="F79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0" i="4"/>
  <c r="F9" i="4"/>
  <c r="F8" i="4"/>
  <c r="F7" i="4"/>
  <c r="F6" i="4"/>
  <c r="F5" i="4"/>
  <c r="DF123" i="4"/>
  <c r="DF122" i="4"/>
  <c r="DF121" i="4"/>
  <c r="DF120" i="4"/>
  <c r="DF118" i="4"/>
  <c r="DF117" i="4"/>
  <c r="DF116" i="4"/>
  <c r="DF115" i="4"/>
  <c r="DF114" i="4"/>
  <c r="DF113" i="4"/>
  <c r="DF112" i="4"/>
  <c r="DF111" i="4"/>
  <c r="DF110" i="4"/>
  <c r="DF109" i="4"/>
  <c r="DF105" i="4"/>
  <c r="DF104" i="4"/>
  <c r="DF92" i="4"/>
  <c r="DF91" i="4"/>
  <c r="DF90" i="4"/>
  <c r="DF88" i="4"/>
  <c r="DF86" i="4"/>
  <c r="DF85" i="4"/>
  <c r="DF84" i="4"/>
  <c r="DF83" i="4"/>
  <c r="DF81" i="4"/>
  <c r="DF80" i="4"/>
  <c r="DF79" i="4"/>
  <c r="DF77" i="4"/>
  <c r="DF76" i="4"/>
  <c r="DF75" i="4"/>
  <c r="DF74" i="4"/>
  <c r="DF108" i="4"/>
  <c r="DF73" i="4"/>
  <c r="DF72" i="4"/>
  <c r="DF71" i="4"/>
  <c r="DF70" i="4"/>
  <c r="DF69" i="4"/>
  <c r="DF68" i="4"/>
  <c r="DF107" i="4"/>
  <c r="DF67" i="4"/>
  <c r="DF66" i="4"/>
  <c r="DF106" i="4"/>
  <c r="DF65" i="4"/>
  <c r="DF64" i="4"/>
  <c r="DF63" i="4"/>
  <c r="DF62" i="4"/>
  <c r="DF61" i="4"/>
  <c r="DF60" i="4"/>
  <c r="DF59" i="4"/>
  <c r="DF58" i="4"/>
  <c r="DF57" i="4"/>
  <c r="DF56" i="4"/>
  <c r="DF55" i="4"/>
  <c r="DF54" i="4"/>
  <c r="DF53" i="4"/>
  <c r="DF52" i="4"/>
  <c r="DF51" i="4"/>
  <c r="DF50" i="4"/>
  <c r="DF49" i="4"/>
  <c r="DF48" i="4"/>
  <c r="DF47" i="4"/>
  <c r="DF46" i="4"/>
  <c r="DF45" i="4"/>
  <c r="DF44" i="4"/>
  <c r="DF43" i="4"/>
  <c r="DF42" i="4"/>
  <c r="DF41" i="4"/>
  <c r="DF40" i="4"/>
  <c r="DF39" i="4"/>
  <c r="DF38" i="4"/>
  <c r="DF37" i="4"/>
  <c r="DF36" i="4"/>
  <c r="DF34" i="4"/>
  <c r="DF33" i="4"/>
  <c r="DF32" i="4"/>
  <c r="DF31" i="4"/>
  <c r="DF30" i="4"/>
  <c r="DF29" i="4"/>
  <c r="DF28" i="4"/>
  <c r="DF27" i="4"/>
  <c r="DF26" i="4"/>
  <c r="DF25" i="4"/>
  <c r="DF24" i="4"/>
  <c r="DF23" i="4"/>
  <c r="DF22" i="4"/>
  <c r="DF21" i="4"/>
  <c r="DF20" i="4"/>
  <c r="DF19" i="4"/>
  <c r="DF18" i="4"/>
  <c r="DF17" i="4"/>
  <c r="DF16" i="4"/>
  <c r="DF15" i="4"/>
  <c r="DF14" i="4"/>
  <c r="DF13" i="4"/>
  <c r="DF12" i="4"/>
  <c r="DF10" i="4"/>
  <c r="DF9" i="4"/>
  <c r="DF8" i="4"/>
  <c r="DF7" i="4"/>
  <c r="DF6" i="4"/>
  <c r="DF5" i="4"/>
  <c r="CY123" i="4"/>
  <c r="CY122" i="4"/>
  <c r="CY121" i="4"/>
  <c r="CY120" i="4"/>
  <c r="CY118" i="4"/>
  <c r="CY117" i="4"/>
  <c r="CY116" i="4"/>
  <c r="CY115" i="4"/>
  <c r="CY114" i="4"/>
  <c r="CY113" i="4"/>
  <c r="CY112" i="4"/>
  <c r="CY111" i="4"/>
  <c r="CY110" i="4"/>
  <c r="CY109" i="4"/>
  <c r="CY105" i="4"/>
  <c r="CY104" i="4"/>
  <c r="CY92" i="4"/>
  <c r="CY91" i="4"/>
  <c r="CY90" i="4"/>
  <c r="CY88" i="4"/>
  <c r="CY86" i="4"/>
  <c r="CY85" i="4"/>
  <c r="CY84" i="4"/>
  <c r="CY83" i="4"/>
  <c r="CY81" i="4"/>
  <c r="CY80" i="4"/>
  <c r="CY79" i="4"/>
  <c r="CY77" i="4"/>
  <c r="CY76" i="4"/>
  <c r="CY75" i="4"/>
  <c r="CY74" i="4"/>
  <c r="CY108" i="4"/>
  <c r="CY73" i="4"/>
  <c r="CY72" i="4"/>
  <c r="CY71" i="4"/>
  <c r="CY70" i="4"/>
  <c r="CY69" i="4"/>
  <c r="CY68" i="4"/>
  <c r="CY107" i="4"/>
  <c r="CY67" i="4"/>
  <c r="CY66" i="4"/>
  <c r="CY106" i="4"/>
  <c r="CY65" i="4"/>
  <c r="CY64" i="4"/>
  <c r="CY63" i="4"/>
  <c r="CY62" i="4"/>
  <c r="CY61" i="4"/>
  <c r="CY60" i="4"/>
  <c r="CY59" i="4"/>
  <c r="CY58" i="4"/>
  <c r="CY57" i="4"/>
  <c r="CY56" i="4"/>
  <c r="CY55" i="4"/>
  <c r="CY54" i="4"/>
  <c r="CY53" i="4"/>
  <c r="CY52" i="4"/>
  <c r="CY51" i="4"/>
  <c r="CY50" i="4"/>
  <c r="CY49" i="4"/>
  <c r="CY48" i="4"/>
  <c r="CY47" i="4"/>
  <c r="CY46" i="4"/>
  <c r="CY45" i="4"/>
  <c r="CY44" i="4"/>
  <c r="CY43" i="4"/>
  <c r="CY42" i="4"/>
  <c r="CY41" i="4"/>
  <c r="CY40" i="4"/>
  <c r="CY39" i="4"/>
  <c r="CY38" i="4"/>
  <c r="CY37" i="4"/>
  <c r="CY36" i="4"/>
  <c r="CY34" i="4"/>
  <c r="CY33" i="4"/>
  <c r="CY32" i="4"/>
  <c r="CY31" i="4"/>
  <c r="CY30" i="4"/>
  <c r="CY29" i="4"/>
  <c r="CY28" i="4"/>
  <c r="CY27" i="4"/>
  <c r="CY26" i="4"/>
  <c r="CY25" i="4"/>
  <c r="CY24" i="4"/>
  <c r="CY23" i="4"/>
  <c r="CY22" i="4"/>
  <c r="CY21" i="4"/>
  <c r="CY20" i="4"/>
  <c r="CY19" i="4"/>
  <c r="CY18" i="4"/>
  <c r="CY17" i="4"/>
  <c r="CY16" i="4"/>
  <c r="CY15" i="4"/>
  <c r="CY14" i="4"/>
  <c r="CY13" i="4"/>
  <c r="CY12" i="4"/>
  <c r="CY10" i="4"/>
  <c r="CY9" i="4"/>
  <c r="CY8" i="4"/>
  <c r="CY7" i="4"/>
  <c r="CY6" i="4"/>
  <c r="CY5" i="4"/>
  <c r="N123" i="4" l="1"/>
  <c r="N122" i="4"/>
  <c r="N121" i="4"/>
  <c r="N120" i="4"/>
  <c r="N118" i="4"/>
  <c r="N117" i="4"/>
  <c r="N116" i="4"/>
  <c r="N115" i="4"/>
  <c r="N114" i="4"/>
  <c r="N113" i="4"/>
  <c r="N112" i="4"/>
  <c r="N111" i="4"/>
  <c r="N110" i="4"/>
  <c r="N109" i="4"/>
  <c r="N105" i="4"/>
  <c r="N104" i="4"/>
  <c r="N88" i="4"/>
  <c r="N86" i="4"/>
  <c r="N85" i="4"/>
  <c r="N84" i="4"/>
  <c r="N83" i="4"/>
  <c r="N81" i="4"/>
  <c r="N80" i="4"/>
  <c r="N79" i="4"/>
  <c r="N108" i="4"/>
  <c r="N73" i="4"/>
  <c r="N70" i="4"/>
  <c r="N69" i="4"/>
  <c r="N107" i="4"/>
  <c r="N67" i="4"/>
  <c r="N10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1" i="4"/>
  <c r="N40" i="4"/>
  <c r="N39" i="4"/>
  <c r="N38" i="4"/>
  <c r="N37" i="4"/>
  <c r="N36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0" i="4"/>
  <c r="N9" i="4"/>
  <c r="N8" i="4"/>
  <c r="N7" i="4"/>
  <c r="N6" i="4"/>
  <c r="AC5" i="4"/>
  <c r="AB5" i="4" s="1"/>
  <c r="J94" i="4"/>
  <c r="K94" i="4"/>
  <c r="L94" i="4"/>
  <c r="M94" i="4"/>
  <c r="J95" i="4"/>
  <c r="K95" i="4"/>
  <c r="L95" i="4"/>
  <c r="M95" i="4"/>
  <c r="D85" i="4"/>
  <c r="D86" i="4"/>
  <c r="D83" i="4"/>
  <c r="D79" i="4"/>
  <c r="D80" i="4"/>
  <c r="D104" i="4"/>
  <c r="D105" i="4"/>
  <c r="N5" i="4"/>
  <c r="CZ10" i="4" l="1"/>
  <c r="DA10" i="4" s="1"/>
  <c r="DG42" i="4"/>
  <c r="DG43" i="4"/>
  <c r="DI43" i="4" s="1"/>
  <c r="CZ42" i="4"/>
  <c r="DA42" i="4" s="1"/>
  <c r="DC42" i="4" s="1"/>
  <c r="CZ43" i="4"/>
  <c r="DA43" i="4" s="1"/>
  <c r="DC43" i="4" s="1"/>
  <c r="CZ123" i="4"/>
  <c r="CZ122" i="4"/>
  <c r="DA122" i="4" s="1"/>
  <c r="CZ121" i="4"/>
  <c r="DA121" i="4" s="1"/>
  <c r="CZ120" i="4"/>
  <c r="DA120" i="4" s="1"/>
  <c r="CZ118" i="4"/>
  <c r="DA118" i="4" s="1"/>
  <c r="CZ117" i="4"/>
  <c r="DA117" i="4" s="1"/>
  <c r="CZ116" i="4"/>
  <c r="DA116" i="4" s="1"/>
  <c r="CZ115" i="4"/>
  <c r="DA115" i="4" s="1"/>
  <c r="CZ114" i="4"/>
  <c r="DA114" i="4" s="1"/>
  <c r="CZ113" i="4"/>
  <c r="DA113" i="4" s="1"/>
  <c r="CZ112" i="4"/>
  <c r="DA112" i="4" s="1"/>
  <c r="CZ111" i="4"/>
  <c r="DA111" i="4" s="1"/>
  <c r="CZ110" i="4"/>
  <c r="DA110" i="4" s="1"/>
  <c r="CZ109" i="4"/>
  <c r="DA109" i="4" s="1"/>
  <c r="CZ81" i="4"/>
  <c r="DA81" i="4" s="1"/>
  <c r="CZ84" i="4"/>
  <c r="DA84" i="4" s="1"/>
  <c r="D81" i="4"/>
  <c r="D84" i="4"/>
  <c r="DB120" i="4" l="1"/>
  <c r="DB110" i="4"/>
  <c r="DB114" i="4"/>
  <c r="DB118" i="4"/>
  <c r="DB111" i="4"/>
  <c r="DB109" i="4"/>
  <c r="DB113" i="4"/>
  <c r="DB117" i="4"/>
  <c r="DB122" i="4"/>
  <c r="DB115" i="4"/>
  <c r="DB112" i="4"/>
  <c r="DB116" i="4"/>
  <c r="DB121" i="4"/>
  <c r="DC81" i="4"/>
  <c r="DB81" i="4"/>
  <c r="DC84" i="4"/>
  <c r="DB84" i="4"/>
  <c r="DI42" i="4"/>
  <c r="DH42" i="4"/>
  <c r="DC10" i="4"/>
  <c r="DB10" i="4"/>
  <c r="DB43" i="4"/>
  <c r="DB42" i="4"/>
  <c r="DH43" i="4"/>
  <c r="DA123" i="4"/>
  <c r="DB123" i="4" s="1"/>
  <c r="AO123" i="4" l="1"/>
  <c r="AN123" i="4"/>
  <c r="AM123" i="4"/>
  <c r="AL123" i="4"/>
  <c r="AK123" i="4"/>
  <c r="AJ123" i="4"/>
  <c r="AI123" i="4"/>
  <c r="AH123" i="4"/>
  <c r="AG123" i="4"/>
  <c r="AF123" i="4"/>
  <c r="AO122" i="4"/>
  <c r="AN122" i="4"/>
  <c r="AM122" i="4"/>
  <c r="AL122" i="4"/>
  <c r="AK122" i="4"/>
  <c r="AJ122" i="4"/>
  <c r="AI122" i="4"/>
  <c r="AH122" i="4"/>
  <c r="AG122" i="4"/>
  <c r="AF122" i="4"/>
  <c r="AO121" i="4"/>
  <c r="AN121" i="4"/>
  <c r="AM121" i="4"/>
  <c r="AL121" i="4"/>
  <c r="AK121" i="4"/>
  <c r="AJ121" i="4"/>
  <c r="AI121" i="4"/>
  <c r="AH121" i="4"/>
  <c r="AG121" i="4"/>
  <c r="AF121" i="4"/>
  <c r="AO120" i="4"/>
  <c r="AN120" i="4"/>
  <c r="AM120" i="4"/>
  <c r="AL120" i="4"/>
  <c r="AK120" i="4"/>
  <c r="AJ120" i="4"/>
  <c r="AI120" i="4"/>
  <c r="AH120" i="4"/>
  <c r="AG120" i="4"/>
  <c r="AF120" i="4"/>
  <c r="AP123" i="4" l="1"/>
  <c r="AP120" i="4"/>
  <c r="AP121" i="4"/>
  <c r="AP122" i="4"/>
  <c r="E86" i="4"/>
  <c r="E85" i="4"/>
  <c r="E104" i="4"/>
  <c r="E83" i="4"/>
  <c r="E105" i="4"/>
  <c r="E80" i="4"/>
  <c r="E79" i="4"/>
  <c r="E123" i="4"/>
  <c r="E122" i="4"/>
  <c r="E121" i="4"/>
  <c r="E120" i="4"/>
  <c r="E81" i="4"/>
  <c r="E84" i="4"/>
  <c r="E72" i="4" l="1"/>
  <c r="CZ92" i="4" l="1"/>
  <c r="DA92" i="4" s="1"/>
  <c r="CZ91" i="4"/>
  <c r="DA91" i="4" s="1"/>
  <c r="CZ90" i="4"/>
  <c r="DA90" i="4" s="1"/>
  <c r="CZ88" i="4"/>
  <c r="DA88" i="4" s="1"/>
  <c r="CZ86" i="4"/>
  <c r="DA86" i="4" s="1"/>
  <c r="CZ85" i="4"/>
  <c r="DA85" i="4" s="1"/>
  <c r="CZ104" i="4"/>
  <c r="CZ83" i="4"/>
  <c r="DA83" i="4" s="1"/>
  <c r="DB83" i="4" s="1"/>
  <c r="CZ105" i="4"/>
  <c r="DA105" i="4" s="1"/>
  <c r="DB105" i="4" s="1"/>
  <c r="CZ80" i="4"/>
  <c r="DA80" i="4" s="1"/>
  <c r="CZ79" i="4"/>
  <c r="DA79" i="4" s="1"/>
  <c r="CZ77" i="4"/>
  <c r="DA77" i="4" s="1"/>
  <c r="CZ76" i="4"/>
  <c r="DA76" i="4" s="1"/>
  <c r="CZ75" i="4"/>
  <c r="DA75" i="4" s="1"/>
  <c r="CZ74" i="4"/>
  <c r="DA74" i="4" s="1"/>
  <c r="CZ108" i="4"/>
  <c r="DA108" i="4" s="1"/>
  <c r="CZ73" i="4"/>
  <c r="DA73" i="4" s="1"/>
  <c r="CZ72" i="4"/>
  <c r="DA72" i="4" s="1"/>
  <c r="CZ71" i="4"/>
  <c r="DA71" i="4" s="1"/>
  <c r="CZ70" i="4"/>
  <c r="DA70" i="4" s="1"/>
  <c r="CZ69" i="4"/>
  <c r="DA69" i="4" s="1"/>
  <c r="CZ68" i="4"/>
  <c r="DA68" i="4" s="1"/>
  <c r="CZ107" i="4"/>
  <c r="DA107" i="4" s="1"/>
  <c r="CZ67" i="4"/>
  <c r="DA67" i="4" s="1"/>
  <c r="CZ66" i="4"/>
  <c r="DA66" i="4" s="1"/>
  <c r="CZ106" i="4"/>
  <c r="DA106" i="4" s="1"/>
  <c r="CZ65" i="4"/>
  <c r="DA65" i="4" s="1"/>
  <c r="CZ64" i="4"/>
  <c r="DA64" i="4" s="1"/>
  <c r="CZ63" i="4"/>
  <c r="DA63" i="4" s="1"/>
  <c r="CZ62" i="4"/>
  <c r="DA62" i="4" s="1"/>
  <c r="CZ61" i="4"/>
  <c r="DA61" i="4" s="1"/>
  <c r="CZ60" i="4"/>
  <c r="DA60" i="4" s="1"/>
  <c r="CZ59" i="4"/>
  <c r="DA59" i="4" s="1"/>
  <c r="CZ58" i="4"/>
  <c r="DA58" i="4" s="1"/>
  <c r="CZ57" i="4"/>
  <c r="DA57" i="4" s="1"/>
  <c r="CZ56" i="4"/>
  <c r="DA56" i="4" s="1"/>
  <c r="CZ55" i="4"/>
  <c r="DA55" i="4" s="1"/>
  <c r="CZ54" i="4"/>
  <c r="DA54" i="4" s="1"/>
  <c r="CZ53" i="4"/>
  <c r="DA53" i="4" s="1"/>
  <c r="CZ52" i="4"/>
  <c r="DA52" i="4" s="1"/>
  <c r="CZ51" i="4"/>
  <c r="DA51" i="4" s="1"/>
  <c r="CZ50" i="4"/>
  <c r="DA50" i="4" s="1"/>
  <c r="CZ49" i="4"/>
  <c r="DA49" i="4" s="1"/>
  <c r="CZ48" i="4"/>
  <c r="DA48" i="4" s="1"/>
  <c r="CZ47" i="4"/>
  <c r="DA47" i="4" s="1"/>
  <c r="CZ46" i="4"/>
  <c r="DA46" i="4" s="1"/>
  <c r="CZ45" i="4"/>
  <c r="DA45" i="4" s="1"/>
  <c r="CZ44" i="4"/>
  <c r="DA44" i="4" s="1"/>
  <c r="CZ41" i="4"/>
  <c r="DA41" i="4" s="1"/>
  <c r="CZ40" i="4"/>
  <c r="DA40" i="4" s="1"/>
  <c r="CZ39" i="4"/>
  <c r="DA39" i="4" s="1"/>
  <c r="CZ38" i="4"/>
  <c r="DA38" i="4" s="1"/>
  <c r="CZ37" i="4"/>
  <c r="DA37" i="4" s="1"/>
  <c r="CZ36" i="4"/>
  <c r="DA36" i="4" s="1"/>
  <c r="CZ34" i="4"/>
  <c r="DA34" i="4" s="1"/>
  <c r="CZ33" i="4"/>
  <c r="DA33" i="4" s="1"/>
  <c r="CZ32" i="4"/>
  <c r="DA32" i="4" s="1"/>
  <c r="CZ31" i="4"/>
  <c r="DA31" i="4" s="1"/>
  <c r="CZ30" i="4"/>
  <c r="DA30" i="4" s="1"/>
  <c r="CZ29" i="4"/>
  <c r="DA29" i="4" s="1"/>
  <c r="CZ28" i="4"/>
  <c r="DA28" i="4" s="1"/>
  <c r="CZ27" i="4"/>
  <c r="DA27" i="4" s="1"/>
  <c r="CZ26" i="4"/>
  <c r="DA26" i="4" s="1"/>
  <c r="CZ25" i="4"/>
  <c r="DA25" i="4" s="1"/>
  <c r="CZ24" i="4"/>
  <c r="DA24" i="4" s="1"/>
  <c r="CZ23" i="4"/>
  <c r="DA23" i="4" s="1"/>
  <c r="CZ22" i="4"/>
  <c r="DA22" i="4" s="1"/>
  <c r="CZ21" i="4"/>
  <c r="DA21" i="4" s="1"/>
  <c r="CZ20" i="4"/>
  <c r="DA20" i="4" s="1"/>
  <c r="CZ19" i="4"/>
  <c r="DA19" i="4" s="1"/>
  <c r="CZ18" i="4"/>
  <c r="DA18" i="4" s="1"/>
  <c r="CZ17" i="4"/>
  <c r="DA17" i="4" s="1"/>
  <c r="CZ16" i="4"/>
  <c r="DA16" i="4" s="1"/>
  <c r="CZ15" i="4"/>
  <c r="DA15" i="4" s="1"/>
  <c r="CZ14" i="4"/>
  <c r="DA14" i="4" s="1"/>
  <c r="CZ13" i="4"/>
  <c r="DA13" i="4" s="1"/>
  <c r="CZ12" i="4"/>
  <c r="DA12" i="4" s="1"/>
  <c r="CZ9" i="4"/>
  <c r="DA9" i="4" s="1"/>
  <c r="CZ8" i="4"/>
  <c r="DA8" i="4" s="1"/>
  <c r="CZ7" i="4"/>
  <c r="DA7" i="4" s="1"/>
  <c r="CZ6" i="4"/>
  <c r="DA6" i="4" s="1"/>
  <c r="CZ5" i="4"/>
  <c r="DQ118" i="4"/>
  <c r="DR118" i="4" s="1"/>
  <c r="DG118" i="4"/>
  <c r="AO118" i="4"/>
  <c r="AN118" i="4"/>
  <c r="AM118" i="4"/>
  <c r="AL118" i="4"/>
  <c r="AK118" i="4"/>
  <c r="AJ118" i="4"/>
  <c r="AI118" i="4"/>
  <c r="AH118" i="4"/>
  <c r="AG118" i="4"/>
  <c r="AF118" i="4"/>
  <c r="AC118" i="4"/>
  <c r="Y118" i="4"/>
  <c r="D118" i="4"/>
  <c r="E118" i="4"/>
  <c r="I118" i="4"/>
  <c r="DH118" i="4" l="1"/>
  <c r="DI118" i="4"/>
  <c r="DS118" i="4"/>
  <c r="DC13" i="4"/>
  <c r="DB13" i="4"/>
  <c r="DC25" i="4"/>
  <c r="DB25" i="4"/>
  <c r="DC33" i="4"/>
  <c r="DB33" i="4"/>
  <c r="DC48" i="4"/>
  <c r="DB48" i="4"/>
  <c r="DC64" i="4"/>
  <c r="DB64" i="4"/>
  <c r="DC108" i="4"/>
  <c r="DB108" i="4"/>
  <c r="DC88" i="4"/>
  <c r="DB88" i="4"/>
  <c r="DC6" i="4"/>
  <c r="DB6" i="4"/>
  <c r="DC12" i="4"/>
  <c r="DB12" i="4"/>
  <c r="DC16" i="4"/>
  <c r="DB16" i="4"/>
  <c r="DC20" i="4"/>
  <c r="DB20" i="4"/>
  <c r="DC24" i="4"/>
  <c r="DB24" i="4"/>
  <c r="DC28" i="4"/>
  <c r="DB28" i="4"/>
  <c r="DC32" i="4"/>
  <c r="DB32" i="4"/>
  <c r="DC37" i="4"/>
  <c r="DB37" i="4"/>
  <c r="DC41" i="4"/>
  <c r="DB41" i="4"/>
  <c r="DC47" i="4"/>
  <c r="DB47" i="4"/>
  <c r="DC51" i="4"/>
  <c r="DB51" i="4"/>
  <c r="DC55" i="4"/>
  <c r="DB55" i="4"/>
  <c r="DC59" i="4"/>
  <c r="DB59" i="4"/>
  <c r="DC63" i="4"/>
  <c r="DB63" i="4"/>
  <c r="DC66" i="4"/>
  <c r="DB66" i="4"/>
  <c r="DC69" i="4"/>
  <c r="DB69" i="4"/>
  <c r="DC73" i="4"/>
  <c r="DB73" i="4"/>
  <c r="DC76" i="4"/>
  <c r="DB76" i="4"/>
  <c r="DC86" i="4"/>
  <c r="DB86" i="4"/>
  <c r="DC92" i="4"/>
  <c r="DB92" i="4"/>
  <c r="DC17" i="4"/>
  <c r="DB17" i="4"/>
  <c r="DC29" i="4"/>
  <c r="DB29" i="4"/>
  <c r="DC44" i="4"/>
  <c r="DB44" i="4"/>
  <c r="DC60" i="4"/>
  <c r="DB60" i="4"/>
  <c r="DC70" i="4"/>
  <c r="DB70" i="4"/>
  <c r="DC83" i="4"/>
  <c r="DC9" i="4"/>
  <c r="DB9" i="4"/>
  <c r="DC15" i="4"/>
  <c r="DB15" i="4"/>
  <c r="DC19" i="4"/>
  <c r="DB19" i="4"/>
  <c r="DC23" i="4"/>
  <c r="DB23" i="4"/>
  <c r="DC27" i="4"/>
  <c r="DB27" i="4"/>
  <c r="DC31" i="4"/>
  <c r="DB31" i="4"/>
  <c r="DC36" i="4"/>
  <c r="DB36" i="4"/>
  <c r="DC40" i="4"/>
  <c r="DB40" i="4"/>
  <c r="DC46" i="4"/>
  <c r="DB46" i="4"/>
  <c r="DC50" i="4"/>
  <c r="DB50" i="4"/>
  <c r="DC54" i="4"/>
  <c r="DB54" i="4"/>
  <c r="DC58" i="4"/>
  <c r="DB58" i="4"/>
  <c r="DC62" i="4"/>
  <c r="DB62" i="4"/>
  <c r="DC106" i="4"/>
  <c r="DB106" i="4"/>
  <c r="DC68" i="4"/>
  <c r="DB68" i="4"/>
  <c r="DC72" i="4"/>
  <c r="DB72" i="4"/>
  <c r="DC75" i="4"/>
  <c r="DB75" i="4"/>
  <c r="DC80" i="4"/>
  <c r="DB80" i="4"/>
  <c r="DC85" i="4"/>
  <c r="DB85" i="4"/>
  <c r="DC91" i="4"/>
  <c r="DB91" i="4"/>
  <c r="DC7" i="4"/>
  <c r="DB7" i="4"/>
  <c r="DC21" i="4"/>
  <c r="DB21" i="4"/>
  <c r="DC38" i="4"/>
  <c r="DB38" i="4"/>
  <c r="DC52" i="4"/>
  <c r="DB52" i="4"/>
  <c r="DC67" i="4"/>
  <c r="DB67" i="4"/>
  <c r="DC77" i="4"/>
  <c r="DB77" i="4"/>
  <c r="DC8" i="4"/>
  <c r="DB8" i="4"/>
  <c r="DC14" i="4"/>
  <c r="DB14" i="4"/>
  <c r="DC18" i="4"/>
  <c r="DB18" i="4"/>
  <c r="DC22" i="4"/>
  <c r="DB22" i="4"/>
  <c r="DC26" i="4"/>
  <c r="DB26" i="4"/>
  <c r="DC30" i="4"/>
  <c r="DB30" i="4"/>
  <c r="DC34" i="4"/>
  <c r="DB34" i="4"/>
  <c r="DC39" i="4"/>
  <c r="DB39" i="4"/>
  <c r="DC45" i="4"/>
  <c r="DB45" i="4"/>
  <c r="DC49" i="4"/>
  <c r="DB49" i="4"/>
  <c r="DC53" i="4"/>
  <c r="DB53" i="4"/>
  <c r="DC57" i="4"/>
  <c r="DB57" i="4"/>
  <c r="DC61" i="4"/>
  <c r="DB61" i="4"/>
  <c r="DC65" i="4"/>
  <c r="DB65" i="4"/>
  <c r="DC107" i="4"/>
  <c r="DB107" i="4"/>
  <c r="DC71" i="4"/>
  <c r="DB71" i="4"/>
  <c r="DC74" i="4"/>
  <c r="DB74" i="4"/>
  <c r="DC79" i="4"/>
  <c r="DB79" i="4"/>
  <c r="DA104" i="4"/>
  <c r="DC90" i="4"/>
  <c r="DB90" i="4"/>
  <c r="DC56" i="4"/>
  <c r="DB56" i="4"/>
  <c r="CZ95" i="4"/>
  <c r="CZ94" i="4"/>
  <c r="DA5" i="4"/>
  <c r="DB5" i="4" s="1"/>
  <c r="AB118" i="4"/>
  <c r="AP118" i="4"/>
  <c r="DB96" i="4" l="1"/>
  <c r="DB104" i="4"/>
  <c r="DC5" i="4"/>
  <c r="DA95" i="4"/>
  <c r="DA94" i="4"/>
  <c r="AD118" i="4"/>
  <c r="BC118" i="4" s="1"/>
  <c r="DC98" i="4" l="1"/>
  <c r="DC99" i="4"/>
  <c r="BI118" i="4"/>
  <c r="AY118" i="4"/>
  <c r="AU118" i="4"/>
  <c r="AZ118" i="4"/>
  <c r="AV118" i="4"/>
  <c r="AR118" i="4"/>
  <c r="BA118" i="4"/>
  <c r="AW118" i="4"/>
  <c r="AS118" i="4"/>
  <c r="AX118" i="4"/>
  <c r="AT118" i="4"/>
  <c r="BD118" i="4"/>
  <c r="DC100" i="4" l="1"/>
  <c r="BH118" i="4"/>
  <c r="BP118" i="4"/>
  <c r="BJ118" i="4"/>
  <c r="BL118" i="4"/>
  <c r="BO118" i="4"/>
  <c r="BG118" i="4"/>
  <c r="BK118" i="4"/>
  <c r="BM118" i="4"/>
  <c r="BF118" i="4"/>
  <c r="BB118" i="4"/>
  <c r="BE118" i="4" s="1"/>
  <c r="BN118" i="4"/>
  <c r="DL118" i="4" l="1"/>
  <c r="DM118" i="4" s="1"/>
  <c r="BQ118" i="4"/>
  <c r="DN118" i="4" l="1"/>
  <c r="DG115" i="4" l="1"/>
  <c r="DG113" i="4"/>
  <c r="DG111" i="4"/>
  <c r="DG109" i="4"/>
  <c r="DG84" i="4"/>
  <c r="DG86" i="4"/>
  <c r="DG104" i="4"/>
  <c r="DG105" i="4"/>
  <c r="DG79" i="4"/>
  <c r="DQ86" i="4"/>
  <c r="DR86" i="4" s="1"/>
  <c r="AO86" i="4"/>
  <c r="AN86" i="4"/>
  <c r="AM86" i="4"/>
  <c r="AL86" i="4"/>
  <c r="AK86" i="4"/>
  <c r="AJ86" i="4"/>
  <c r="AI86" i="4"/>
  <c r="AH86" i="4"/>
  <c r="AG86" i="4"/>
  <c r="AF86" i="4"/>
  <c r="AC86" i="4"/>
  <c r="Y86" i="4"/>
  <c r="I86" i="4"/>
  <c r="DQ84" i="4"/>
  <c r="DR84" i="4" s="1"/>
  <c r="AO84" i="4"/>
  <c r="AN84" i="4"/>
  <c r="AM84" i="4"/>
  <c r="AL84" i="4"/>
  <c r="AK84" i="4"/>
  <c r="AJ84" i="4"/>
  <c r="AI84" i="4"/>
  <c r="AH84" i="4"/>
  <c r="AG84" i="4"/>
  <c r="AF84" i="4"/>
  <c r="AC84" i="4"/>
  <c r="Y84" i="4"/>
  <c r="I84" i="4"/>
  <c r="DQ116" i="4"/>
  <c r="DR116" i="4" s="1"/>
  <c r="DG116" i="4"/>
  <c r="AO116" i="4"/>
  <c r="AN116" i="4"/>
  <c r="AM116" i="4"/>
  <c r="AL116" i="4"/>
  <c r="AK116" i="4"/>
  <c r="AJ116" i="4"/>
  <c r="AI116" i="4"/>
  <c r="AH116" i="4"/>
  <c r="AG116" i="4"/>
  <c r="AF116" i="4"/>
  <c r="AC116" i="4"/>
  <c r="Y116" i="4"/>
  <c r="D116" i="4"/>
  <c r="E116" i="4"/>
  <c r="I116" i="4"/>
  <c r="DQ115" i="4"/>
  <c r="DR115" i="4" s="1"/>
  <c r="AO115" i="4"/>
  <c r="AN115" i="4"/>
  <c r="AM115" i="4"/>
  <c r="AL115" i="4"/>
  <c r="AK115" i="4"/>
  <c r="AJ115" i="4"/>
  <c r="AI115" i="4"/>
  <c r="AH115" i="4"/>
  <c r="AG115" i="4"/>
  <c r="AF115" i="4"/>
  <c r="AC115" i="4"/>
  <c r="Y115" i="4"/>
  <c r="D115" i="4"/>
  <c r="E115" i="4"/>
  <c r="I115" i="4"/>
  <c r="DQ109" i="4"/>
  <c r="DR109" i="4" s="1"/>
  <c r="AO109" i="4"/>
  <c r="AN109" i="4"/>
  <c r="AM109" i="4"/>
  <c r="AL109" i="4"/>
  <c r="AK109" i="4"/>
  <c r="AJ109" i="4"/>
  <c r="AI109" i="4"/>
  <c r="AH109" i="4"/>
  <c r="AG109" i="4"/>
  <c r="AF109" i="4"/>
  <c r="AC109" i="4"/>
  <c r="Y109" i="4"/>
  <c r="D109" i="4"/>
  <c r="E109" i="4"/>
  <c r="I109" i="4"/>
  <c r="DQ81" i="4"/>
  <c r="DR81" i="4" s="1"/>
  <c r="DG81" i="4"/>
  <c r="AO81" i="4"/>
  <c r="AN81" i="4"/>
  <c r="AM81" i="4"/>
  <c r="AL81" i="4"/>
  <c r="AK81" i="4"/>
  <c r="AJ81" i="4"/>
  <c r="AI81" i="4"/>
  <c r="AH81" i="4"/>
  <c r="AG81" i="4"/>
  <c r="AF81" i="4"/>
  <c r="AC81" i="4"/>
  <c r="Y81" i="4"/>
  <c r="I81" i="4"/>
  <c r="I110" i="4"/>
  <c r="E110" i="4"/>
  <c r="D110" i="4"/>
  <c r="Y110" i="4"/>
  <c r="AC110" i="4"/>
  <c r="AB110" i="4" s="1"/>
  <c r="AF110" i="4"/>
  <c r="AG110" i="4"/>
  <c r="AH110" i="4"/>
  <c r="AI110" i="4"/>
  <c r="AJ110" i="4"/>
  <c r="AK110" i="4"/>
  <c r="AL110" i="4"/>
  <c r="AM110" i="4"/>
  <c r="AN110" i="4"/>
  <c r="AO110" i="4"/>
  <c r="DG110" i="4"/>
  <c r="DQ110" i="4"/>
  <c r="DR110" i="4" s="1"/>
  <c r="I111" i="4"/>
  <c r="E111" i="4"/>
  <c r="D111" i="4"/>
  <c r="Y111" i="4"/>
  <c r="AC111" i="4"/>
  <c r="AF111" i="4"/>
  <c r="AG111" i="4"/>
  <c r="AH111" i="4"/>
  <c r="AI111" i="4"/>
  <c r="AJ111" i="4"/>
  <c r="AK111" i="4"/>
  <c r="AL111" i="4"/>
  <c r="AM111" i="4"/>
  <c r="AN111" i="4"/>
  <c r="AO111" i="4"/>
  <c r="DQ111" i="4"/>
  <c r="DR111" i="4" s="1"/>
  <c r="I112" i="4"/>
  <c r="E112" i="4"/>
  <c r="D112" i="4"/>
  <c r="Y112" i="4"/>
  <c r="AC112" i="4"/>
  <c r="AF112" i="4"/>
  <c r="AG112" i="4"/>
  <c r="AH112" i="4"/>
  <c r="AI112" i="4"/>
  <c r="AJ112" i="4"/>
  <c r="AK112" i="4"/>
  <c r="AL112" i="4"/>
  <c r="AM112" i="4"/>
  <c r="AN112" i="4"/>
  <c r="AO112" i="4"/>
  <c r="DG112" i="4"/>
  <c r="DQ112" i="4"/>
  <c r="DR112" i="4" s="1"/>
  <c r="I113" i="4"/>
  <c r="E113" i="4"/>
  <c r="D113" i="4"/>
  <c r="Y113" i="4"/>
  <c r="AC113" i="4"/>
  <c r="AF113" i="4"/>
  <c r="AG113" i="4"/>
  <c r="AH113" i="4"/>
  <c r="AI113" i="4"/>
  <c r="AJ113" i="4"/>
  <c r="AK113" i="4"/>
  <c r="AL113" i="4"/>
  <c r="AM113" i="4"/>
  <c r="AN113" i="4"/>
  <c r="AO113" i="4"/>
  <c r="DQ113" i="4"/>
  <c r="DR113" i="4" s="1"/>
  <c r="I114" i="4"/>
  <c r="E114" i="4"/>
  <c r="D114" i="4"/>
  <c r="Y114" i="4"/>
  <c r="AC114" i="4"/>
  <c r="AF114" i="4"/>
  <c r="AG114" i="4"/>
  <c r="AH114" i="4"/>
  <c r="AI114" i="4"/>
  <c r="AJ114" i="4"/>
  <c r="AK114" i="4"/>
  <c r="AL114" i="4"/>
  <c r="AM114" i="4"/>
  <c r="AN114" i="4"/>
  <c r="AO114" i="4"/>
  <c r="DG114" i="4"/>
  <c r="DQ114" i="4"/>
  <c r="DR114" i="4" s="1"/>
  <c r="DQ123" i="4"/>
  <c r="DR123" i="4" s="1"/>
  <c r="DQ122" i="4"/>
  <c r="DR122" i="4" s="1"/>
  <c r="DQ121" i="4"/>
  <c r="DR121" i="4" s="1"/>
  <c r="DQ120" i="4"/>
  <c r="DR120" i="4" s="1"/>
  <c r="DQ92" i="4"/>
  <c r="DR92" i="4" s="1"/>
  <c r="DQ91" i="4"/>
  <c r="DR91" i="4" s="1"/>
  <c r="DQ90" i="4"/>
  <c r="DR90" i="4" s="1"/>
  <c r="DQ88" i="4"/>
  <c r="DR88" i="4" s="1"/>
  <c r="DQ85" i="4"/>
  <c r="DR85" i="4" s="1"/>
  <c r="DQ104" i="4"/>
  <c r="DR104" i="4" s="1"/>
  <c r="DQ83" i="4"/>
  <c r="DR83" i="4" s="1"/>
  <c r="DS83" i="4" s="1"/>
  <c r="DQ105" i="4"/>
  <c r="DR105" i="4" s="1"/>
  <c r="DS105" i="4" s="1"/>
  <c r="DQ80" i="4"/>
  <c r="DR80" i="4" s="1"/>
  <c r="DQ79" i="4"/>
  <c r="DR79" i="4" s="1"/>
  <c r="DQ108" i="4"/>
  <c r="DR108" i="4" s="1"/>
  <c r="DQ73" i="4"/>
  <c r="DR73" i="4" s="1"/>
  <c r="DQ72" i="4"/>
  <c r="DR72" i="4" s="1"/>
  <c r="DQ71" i="4"/>
  <c r="DR71" i="4" s="1"/>
  <c r="DQ70" i="4"/>
  <c r="DR70" i="4" s="1"/>
  <c r="DQ69" i="4"/>
  <c r="DR69" i="4" s="1"/>
  <c r="DQ68" i="4"/>
  <c r="DR68" i="4" s="1"/>
  <c r="DQ107" i="4"/>
  <c r="DR107" i="4" s="1"/>
  <c r="DQ67" i="4"/>
  <c r="DR67" i="4" s="1"/>
  <c r="DQ66" i="4"/>
  <c r="DR66" i="4" s="1"/>
  <c r="DQ106" i="4"/>
  <c r="DR106" i="4" s="1"/>
  <c r="DQ65" i="4"/>
  <c r="DR65" i="4" s="1"/>
  <c r="DQ64" i="4"/>
  <c r="DR64" i="4" s="1"/>
  <c r="DQ63" i="4"/>
  <c r="DR63" i="4" s="1"/>
  <c r="DQ62" i="4"/>
  <c r="DR62" i="4" s="1"/>
  <c r="DQ61" i="4"/>
  <c r="DR61" i="4" s="1"/>
  <c r="DQ60" i="4"/>
  <c r="DR60" i="4" s="1"/>
  <c r="DQ59" i="4"/>
  <c r="DR59" i="4" s="1"/>
  <c r="DQ58" i="4"/>
  <c r="DR58" i="4" s="1"/>
  <c r="DQ57" i="4"/>
  <c r="DR57" i="4" s="1"/>
  <c r="DQ56" i="4"/>
  <c r="DR56" i="4" s="1"/>
  <c r="DQ55" i="4"/>
  <c r="DR55" i="4" s="1"/>
  <c r="DQ54" i="4"/>
  <c r="DR54" i="4" s="1"/>
  <c r="DQ53" i="4"/>
  <c r="DR53" i="4" s="1"/>
  <c r="DQ52" i="4"/>
  <c r="DR52" i="4" s="1"/>
  <c r="DQ51" i="4"/>
  <c r="DR51" i="4" s="1"/>
  <c r="DQ50" i="4"/>
  <c r="DR50" i="4" s="1"/>
  <c r="DQ49" i="4"/>
  <c r="DR49" i="4" s="1"/>
  <c r="DQ48" i="4"/>
  <c r="DR48" i="4" s="1"/>
  <c r="DQ47" i="4"/>
  <c r="DR47" i="4" s="1"/>
  <c r="DQ46" i="4"/>
  <c r="DR46" i="4" s="1"/>
  <c r="DQ45" i="4"/>
  <c r="DR45" i="4" s="1"/>
  <c r="DQ44" i="4"/>
  <c r="DR44" i="4" s="1"/>
  <c r="DQ41" i="4"/>
  <c r="DR41" i="4" s="1"/>
  <c r="DQ40" i="4"/>
  <c r="DR40" i="4" s="1"/>
  <c r="DQ39" i="4"/>
  <c r="DR39" i="4" s="1"/>
  <c r="DQ38" i="4"/>
  <c r="DR38" i="4" s="1"/>
  <c r="DQ37" i="4"/>
  <c r="DR37" i="4" s="1"/>
  <c r="DQ36" i="4"/>
  <c r="DR36" i="4" s="1"/>
  <c r="DQ34" i="4"/>
  <c r="DR34" i="4" s="1"/>
  <c r="DQ33" i="4"/>
  <c r="DR33" i="4" s="1"/>
  <c r="DQ32" i="4"/>
  <c r="DR32" i="4" s="1"/>
  <c r="DQ31" i="4"/>
  <c r="DR31" i="4" s="1"/>
  <c r="DQ30" i="4"/>
  <c r="DR30" i="4" s="1"/>
  <c r="DQ29" i="4"/>
  <c r="DR29" i="4" s="1"/>
  <c r="DQ28" i="4"/>
  <c r="DR28" i="4" s="1"/>
  <c r="DQ27" i="4"/>
  <c r="DR27" i="4" s="1"/>
  <c r="DQ26" i="4"/>
  <c r="DR26" i="4" s="1"/>
  <c r="DQ25" i="4"/>
  <c r="DR25" i="4" s="1"/>
  <c r="DQ24" i="4"/>
  <c r="DR24" i="4" s="1"/>
  <c r="DQ23" i="4"/>
  <c r="DR23" i="4" s="1"/>
  <c r="DQ22" i="4"/>
  <c r="DR22" i="4" s="1"/>
  <c r="DQ21" i="4"/>
  <c r="DR21" i="4" s="1"/>
  <c r="DQ20" i="4"/>
  <c r="DR20" i="4" s="1"/>
  <c r="DQ19" i="4"/>
  <c r="DR19" i="4" s="1"/>
  <c r="DQ18" i="4"/>
  <c r="DR18" i="4" s="1"/>
  <c r="DQ17" i="4"/>
  <c r="DR17" i="4" s="1"/>
  <c r="DQ16" i="4"/>
  <c r="DR16" i="4" s="1"/>
  <c r="DQ15" i="4"/>
  <c r="DR15" i="4" s="1"/>
  <c r="DQ117" i="4"/>
  <c r="DR117" i="4" s="1"/>
  <c r="DQ14" i="4"/>
  <c r="DR14" i="4" s="1"/>
  <c r="DQ13" i="4"/>
  <c r="DR13" i="4" s="1"/>
  <c r="DQ12" i="4"/>
  <c r="DR12" i="4" s="1"/>
  <c r="DQ10" i="4"/>
  <c r="DR10" i="4" s="1"/>
  <c r="DQ9" i="4"/>
  <c r="DR9" i="4" s="1"/>
  <c r="DQ8" i="4"/>
  <c r="DR8" i="4" s="1"/>
  <c r="DQ7" i="4"/>
  <c r="DR7" i="4" s="1"/>
  <c r="DQ6" i="4"/>
  <c r="DR6" i="4" s="1"/>
  <c r="DQ5" i="4"/>
  <c r="DG85" i="4"/>
  <c r="DG83" i="4"/>
  <c r="DH83" i="4" s="1"/>
  <c r="DG80" i="4"/>
  <c r="AO85" i="4"/>
  <c r="AN85" i="4"/>
  <c r="AM85" i="4"/>
  <c r="AL85" i="4"/>
  <c r="AK85" i="4"/>
  <c r="AJ85" i="4"/>
  <c r="AI85" i="4"/>
  <c r="AH85" i="4"/>
  <c r="AG85" i="4"/>
  <c r="AF85" i="4"/>
  <c r="AC85" i="4"/>
  <c r="Y85" i="4"/>
  <c r="I85" i="4"/>
  <c r="AO104" i="4"/>
  <c r="AN104" i="4"/>
  <c r="AM104" i="4"/>
  <c r="AL104" i="4"/>
  <c r="AK104" i="4"/>
  <c r="AJ104" i="4"/>
  <c r="AI104" i="4"/>
  <c r="AH104" i="4"/>
  <c r="AG104" i="4"/>
  <c r="AF104" i="4"/>
  <c r="AC104" i="4"/>
  <c r="Y104" i="4"/>
  <c r="I104" i="4"/>
  <c r="AO83" i="4"/>
  <c r="AN83" i="4"/>
  <c r="AM83" i="4"/>
  <c r="AL83" i="4"/>
  <c r="AK83" i="4"/>
  <c r="AJ83" i="4"/>
  <c r="AI83" i="4"/>
  <c r="AH83" i="4"/>
  <c r="AG83" i="4"/>
  <c r="AF83" i="4"/>
  <c r="AC83" i="4"/>
  <c r="Y83" i="4"/>
  <c r="I83" i="4"/>
  <c r="AO105" i="4"/>
  <c r="AN105" i="4"/>
  <c r="AM105" i="4"/>
  <c r="AL105" i="4"/>
  <c r="AK105" i="4"/>
  <c r="AJ105" i="4"/>
  <c r="AI105" i="4"/>
  <c r="AH105" i="4"/>
  <c r="AG105" i="4"/>
  <c r="AF105" i="4"/>
  <c r="AC105" i="4"/>
  <c r="Y105" i="4"/>
  <c r="I105" i="4"/>
  <c r="AO80" i="4"/>
  <c r="AN80" i="4"/>
  <c r="AM80" i="4"/>
  <c r="AL80" i="4"/>
  <c r="AK80" i="4"/>
  <c r="AJ80" i="4"/>
  <c r="AI80" i="4"/>
  <c r="AH80" i="4"/>
  <c r="AG80" i="4"/>
  <c r="AF80" i="4"/>
  <c r="AC80" i="4"/>
  <c r="Y80" i="4"/>
  <c r="I80" i="4"/>
  <c r="AO79" i="4"/>
  <c r="AN79" i="4"/>
  <c r="AM79" i="4"/>
  <c r="AL79" i="4"/>
  <c r="AK79" i="4"/>
  <c r="AJ79" i="4"/>
  <c r="AI79" i="4"/>
  <c r="AH79" i="4"/>
  <c r="AG79" i="4"/>
  <c r="AF79" i="4"/>
  <c r="AC79" i="4"/>
  <c r="Y79" i="4"/>
  <c r="I79" i="4"/>
  <c r="DI116" i="4" l="1"/>
  <c r="DH116" i="4"/>
  <c r="DI115" i="4"/>
  <c r="DH115" i="4"/>
  <c r="DH114" i="4"/>
  <c r="DI114" i="4"/>
  <c r="DI113" i="4"/>
  <c r="DH113" i="4"/>
  <c r="DI112" i="4"/>
  <c r="DH112" i="4"/>
  <c r="DI111" i="4"/>
  <c r="DH111" i="4"/>
  <c r="DH110" i="4"/>
  <c r="DI110" i="4"/>
  <c r="DI105" i="4"/>
  <c r="DH105" i="4"/>
  <c r="DI109" i="4"/>
  <c r="DH109" i="4"/>
  <c r="DT84" i="4"/>
  <c r="DS84" i="4"/>
  <c r="DT81" i="4"/>
  <c r="DS81" i="4"/>
  <c r="DI81" i="4"/>
  <c r="DH81" i="4"/>
  <c r="DI84" i="4"/>
  <c r="DH84" i="4"/>
  <c r="DS123" i="4"/>
  <c r="DS112" i="4"/>
  <c r="DS115" i="4"/>
  <c r="DS120" i="4"/>
  <c r="DS117" i="4"/>
  <c r="DS104" i="4"/>
  <c r="DS122" i="4"/>
  <c r="DS114" i="4"/>
  <c r="DS111" i="4"/>
  <c r="DS116" i="4"/>
  <c r="DS110" i="4"/>
  <c r="DS121" i="4"/>
  <c r="DS113" i="4"/>
  <c r="DS109" i="4"/>
  <c r="DI83" i="4"/>
  <c r="DI80" i="4"/>
  <c r="DH80" i="4"/>
  <c r="DI79" i="4"/>
  <c r="DH79" i="4"/>
  <c r="DI85" i="4"/>
  <c r="DH85" i="4"/>
  <c r="DI86" i="4"/>
  <c r="DH86" i="4"/>
  <c r="DI104" i="4"/>
  <c r="DH104" i="4"/>
  <c r="DT8" i="4"/>
  <c r="DS8" i="4"/>
  <c r="DT13" i="4"/>
  <c r="DS13" i="4"/>
  <c r="DT16" i="4"/>
  <c r="DS16" i="4"/>
  <c r="DT20" i="4"/>
  <c r="DS20" i="4"/>
  <c r="DT24" i="4"/>
  <c r="DS24" i="4"/>
  <c r="DT28" i="4"/>
  <c r="DS28" i="4"/>
  <c r="DT32" i="4"/>
  <c r="DS32" i="4"/>
  <c r="DT37" i="4"/>
  <c r="DS37" i="4"/>
  <c r="DT41" i="4"/>
  <c r="DS41" i="4"/>
  <c r="DT47" i="4"/>
  <c r="DS47" i="4"/>
  <c r="DT51" i="4"/>
  <c r="DS51" i="4"/>
  <c r="DT55" i="4"/>
  <c r="DS55" i="4"/>
  <c r="DT59" i="4"/>
  <c r="DS59" i="4"/>
  <c r="DT63" i="4"/>
  <c r="DS63" i="4"/>
  <c r="DT66" i="4"/>
  <c r="DS66" i="4"/>
  <c r="DT69" i="4"/>
  <c r="DS69" i="4"/>
  <c r="DT73" i="4"/>
  <c r="DS73" i="4"/>
  <c r="DT88" i="4"/>
  <c r="DS88" i="4"/>
  <c r="DT7" i="4"/>
  <c r="DS7" i="4"/>
  <c r="DT12" i="4"/>
  <c r="DS12" i="4"/>
  <c r="DT15" i="4"/>
  <c r="DS15" i="4"/>
  <c r="DT19" i="4"/>
  <c r="DS19" i="4"/>
  <c r="DT23" i="4"/>
  <c r="DS23" i="4"/>
  <c r="DT27" i="4"/>
  <c r="DS27" i="4"/>
  <c r="DT31" i="4"/>
  <c r="DS31" i="4"/>
  <c r="DT36" i="4"/>
  <c r="DS36" i="4"/>
  <c r="DT40" i="4"/>
  <c r="DS40" i="4"/>
  <c r="DT46" i="4"/>
  <c r="DS46" i="4"/>
  <c r="DT50" i="4"/>
  <c r="DS50" i="4"/>
  <c r="DT54" i="4"/>
  <c r="DS54" i="4"/>
  <c r="DT58" i="4"/>
  <c r="DS58" i="4"/>
  <c r="DT62" i="4"/>
  <c r="DS62" i="4"/>
  <c r="DT106" i="4"/>
  <c r="DS106" i="4"/>
  <c r="DT68" i="4"/>
  <c r="DS68" i="4"/>
  <c r="DT72" i="4"/>
  <c r="DS72" i="4"/>
  <c r="DT80" i="4"/>
  <c r="DS80" i="4"/>
  <c r="DT85" i="4"/>
  <c r="DS85" i="4"/>
  <c r="DT92" i="4"/>
  <c r="DS92" i="4"/>
  <c r="DT6" i="4"/>
  <c r="DS6" i="4"/>
  <c r="DT10" i="4"/>
  <c r="DS10" i="4"/>
  <c r="DT18" i="4"/>
  <c r="DS18" i="4"/>
  <c r="DT22" i="4"/>
  <c r="DS22" i="4"/>
  <c r="DT26" i="4"/>
  <c r="DS26" i="4"/>
  <c r="DT30" i="4"/>
  <c r="DS30" i="4"/>
  <c r="DT34" i="4"/>
  <c r="DS34" i="4"/>
  <c r="DT39" i="4"/>
  <c r="DS39" i="4"/>
  <c r="DT45" i="4"/>
  <c r="DS45" i="4"/>
  <c r="DT49" i="4"/>
  <c r="DS49" i="4"/>
  <c r="DT53" i="4"/>
  <c r="DS53" i="4"/>
  <c r="DT57" i="4"/>
  <c r="DS57" i="4"/>
  <c r="DT61" i="4"/>
  <c r="DS61" i="4"/>
  <c r="DT65" i="4"/>
  <c r="DS65" i="4"/>
  <c r="DT107" i="4"/>
  <c r="DS107" i="4"/>
  <c r="DT71" i="4"/>
  <c r="DS71" i="4"/>
  <c r="DT79" i="4"/>
  <c r="DS79" i="4"/>
  <c r="DT91" i="4"/>
  <c r="DS91" i="4"/>
  <c r="DT86" i="4"/>
  <c r="DS86" i="4"/>
  <c r="DT9" i="4"/>
  <c r="DS9" i="4"/>
  <c r="DT14" i="4"/>
  <c r="DS14" i="4"/>
  <c r="DT17" i="4"/>
  <c r="DS17" i="4"/>
  <c r="DT21" i="4"/>
  <c r="DS21" i="4"/>
  <c r="DT25" i="4"/>
  <c r="DS25" i="4"/>
  <c r="DT29" i="4"/>
  <c r="DS29" i="4"/>
  <c r="DT33" i="4"/>
  <c r="DS33" i="4"/>
  <c r="DT38" i="4"/>
  <c r="DS38" i="4"/>
  <c r="DT44" i="4"/>
  <c r="DS44" i="4"/>
  <c r="DT48" i="4"/>
  <c r="DS48" i="4"/>
  <c r="DT52" i="4"/>
  <c r="DS52" i="4"/>
  <c r="DT56" i="4"/>
  <c r="DS56" i="4"/>
  <c r="DT60" i="4"/>
  <c r="DS60" i="4"/>
  <c r="DT64" i="4"/>
  <c r="DS64" i="4"/>
  <c r="DT67" i="4"/>
  <c r="DS67" i="4"/>
  <c r="DT70" i="4"/>
  <c r="DS70" i="4"/>
  <c r="DT108" i="4"/>
  <c r="DS108" i="4"/>
  <c r="DT83" i="4"/>
  <c r="DT90" i="4"/>
  <c r="DS90" i="4"/>
  <c r="AB86" i="4"/>
  <c r="AP86" i="4"/>
  <c r="AB84" i="4"/>
  <c r="AP84" i="4"/>
  <c r="AB116" i="4"/>
  <c r="AP116" i="4"/>
  <c r="AB115" i="4"/>
  <c r="AP115" i="4"/>
  <c r="AB109" i="4"/>
  <c r="AP109" i="4"/>
  <c r="AP81" i="4"/>
  <c r="AB81" i="4"/>
  <c r="AP110" i="4"/>
  <c r="AD110" i="4"/>
  <c r="BC110" i="4" s="1"/>
  <c r="AP113" i="4"/>
  <c r="AP111" i="4"/>
  <c r="AP112" i="4"/>
  <c r="AB113" i="4"/>
  <c r="AB111" i="4"/>
  <c r="AB112" i="4"/>
  <c r="AP114" i="4"/>
  <c r="AB114" i="4"/>
  <c r="AP105" i="4"/>
  <c r="AB79" i="4"/>
  <c r="AB83" i="4"/>
  <c r="AB85" i="4"/>
  <c r="AP79" i="4"/>
  <c r="AB104" i="4"/>
  <c r="AP80" i="4"/>
  <c r="AB80" i="4"/>
  <c r="AB105" i="4"/>
  <c r="AP83" i="4"/>
  <c r="AP104" i="4"/>
  <c r="AP85" i="4"/>
  <c r="AD86" i="4" l="1"/>
  <c r="BC86" i="4" s="1"/>
  <c r="AD84" i="4"/>
  <c r="BC84" i="4" s="1"/>
  <c r="AD116" i="4"/>
  <c r="BC116" i="4" s="1"/>
  <c r="AD115" i="4"/>
  <c r="BC115" i="4" s="1"/>
  <c r="AD109" i="4"/>
  <c r="BC109" i="4" s="1"/>
  <c r="AD81" i="4"/>
  <c r="BC81" i="4" s="1"/>
  <c r="BD110" i="4"/>
  <c r="BI110" i="4"/>
  <c r="AT110" i="4"/>
  <c r="AX110" i="4"/>
  <c r="AS110" i="4"/>
  <c r="AW110" i="4"/>
  <c r="BA110" i="4"/>
  <c r="AR110" i="4"/>
  <c r="AV110" i="4"/>
  <c r="AZ110" i="4"/>
  <c r="AU110" i="4"/>
  <c r="AY110" i="4"/>
  <c r="AD113" i="4"/>
  <c r="AD112" i="4"/>
  <c r="AD111" i="4"/>
  <c r="AD114" i="4"/>
  <c r="BC114" i="4" s="1"/>
  <c r="AD105" i="4"/>
  <c r="AD80" i="4"/>
  <c r="AD85" i="4"/>
  <c r="BC85" i="4" s="1"/>
  <c r="AD83" i="4"/>
  <c r="BC83" i="4" s="1"/>
  <c r="AD79" i="4"/>
  <c r="BC79" i="4" s="1"/>
  <c r="AD104" i="4"/>
  <c r="BJ110" i="4" l="1"/>
  <c r="BI86" i="4"/>
  <c r="AY86" i="4"/>
  <c r="AU86" i="4"/>
  <c r="AZ86" i="4"/>
  <c r="AV86" i="4"/>
  <c r="AR86" i="4"/>
  <c r="BA86" i="4"/>
  <c r="AW86" i="4"/>
  <c r="AS86" i="4"/>
  <c r="AX86" i="4"/>
  <c r="AT86" i="4"/>
  <c r="BD86" i="4"/>
  <c r="BI84" i="4"/>
  <c r="AY84" i="4"/>
  <c r="AU84" i="4"/>
  <c r="AZ84" i="4"/>
  <c r="AV84" i="4"/>
  <c r="AR84" i="4"/>
  <c r="BA84" i="4"/>
  <c r="AW84" i="4"/>
  <c r="AS84" i="4"/>
  <c r="AX84" i="4"/>
  <c r="AT84" i="4"/>
  <c r="BD84" i="4"/>
  <c r="BI116" i="4"/>
  <c r="AY116" i="4"/>
  <c r="AU116" i="4"/>
  <c r="AZ116" i="4"/>
  <c r="AV116" i="4"/>
  <c r="AR116" i="4"/>
  <c r="BA116" i="4"/>
  <c r="AW116" i="4"/>
  <c r="AS116" i="4"/>
  <c r="AX116" i="4"/>
  <c r="AT116" i="4"/>
  <c r="BD116" i="4"/>
  <c r="BI115" i="4"/>
  <c r="AY115" i="4"/>
  <c r="AU115" i="4"/>
  <c r="AZ115" i="4"/>
  <c r="AV115" i="4"/>
  <c r="AR115" i="4"/>
  <c r="BA115" i="4"/>
  <c r="AW115" i="4"/>
  <c r="AS115" i="4"/>
  <c r="AX115" i="4"/>
  <c r="AT115" i="4"/>
  <c r="BD115" i="4"/>
  <c r="BI109" i="4"/>
  <c r="AY109" i="4"/>
  <c r="AU109" i="4"/>
  <c r="AZ109" i="4"/>
  <c r="AV109" i="4"/>
  <c r="AR109" i="4"/>
  <c r="BA109" i="4"/>
  <c r="AW109" i="4"/>
  <c r="AS109" i="4"/>
  <c r="AX109" i="4"/>
  <c r="AT109" i="4"/>
  <c r="BD109" i="4"/>
  <c r="BI81" i="4"/>
  <c r="AY81" i="4"/>
  <c r="AU81" i="4"/>
  <c r="AZ81" i="4"/>
  <c r="AV81" i="4"/>
  <c r="AR81" i="4"/>
  <c r="BA81" i="4"/>
  <c r="AW81" i="4"/>
  <c r="AS81" i="4"/>
  <c r="AX81" i="4"/>
  <c r="AT81" i="4"/>
  <c r="BD81" i="4"/>
  <c r="BK110" i="4"/>
  <c r="BG110" i="4"/>
  <c r="BO110" i="4"/>
  <c r="BL110" i="4"/>
  <c r="BP110" i="4"/>
  <c r="BH110" i="4"/>
  <c r="BN110" i="4"/>
  <c r="BB110" i="4"/>
  <c r="BE110" i="4" s="1"/>
  <c r="BF110" i="4"/>
  <c r="BM110" i="4"/>
  <c r="AT112" i="4"/>
  <c r="AX112" i="4"/>
  <c r="AS112" i="4"/>
  <c r="AW112" i="4"/>
  <c r="BA112" i="4"/>
  <c r="AR112" i="4"/>
  <c r="AV112" i="4"/>
  <c r="AZ112" i="4"/>
  <c r="AU112" i="4"/>
  <c r="AY112" i="4"/>
  <c r="BD112" i="4"/>
  <c r="AT113" i="4"/>
  <c r="AX113" i="4"/>
  <c r="AS113" i="4"/>
  <c r="AW113" i="4"/>
  <c r="BA113" i="4"/>
  <c r="AR113" i="4"/>
  <c r="AV113" i="4"/>
  <c r="AZ113" i="4"/>
  <c r="AU113" i="4"/>
  <c r="AY113" i="4"/>
  <c r="BD113" i="4"/>
  <c r="BC112" i="4"/>
  <c r="BC113" i="4"/>
  <c r="AT111" i="4"/>
  <c r="AX111" i="4"/>
  <c r="AS111" i="4"/>
  <c r="AW111" i="4"/>
  <c r="BA111" i="4"/>
  <c r="AR111" i="4"/>
  <c r="AV111" i="4"/>
  <c r="AZ111" i="4"/>
  <c r="AU111" i="4"/>
  <c r="AY111" i="4"/>
  <c r="BD111" i="4"/>
  <c r="BC111" i="4"/>
  <c r="AT114" i="4"/>
  <c r="AX114" i="4"/>
  <c r="AS114" i="4"/>
  <c r="AW114" i="4"/>
  <c r="BA114" i="4"/>
  <c r="AR114" i="4"/>
  <c r="AV114" i="4"/>
  <c r="AZ114" i="4"/>
  <c r="AU114" i="4"/>
  <c r="AY114" i="4"/>
  <c r="BD114" i="4"/>
  <c r="BI114" i="4"/>
  <c r="BI79" i="4"/>
  <c r="AZ105" i="4"/>
  <c r="AV105" i="4"/>
  <c r="AR105" i="4"/>
  <c r="BA105" i="4"/>
  <c r="AW105" i="4"/>
  <c r="AS105" i="4"/>
  <c r="AY105" i="4"/>
  <c r="AX105" i="4"/>
  <c r="AT105" i="4"/>
  <c r="AU105" i="4"/>
  <c r="BD105" i="4"/>
  <c r="AY83" i="4"/>
  <c r="AU83" i="4"/>
  <c r="AZ83" i="4"/>
  <c r="AV83" i="4"/>
  <c r="AR83" i="4"/>
  <c r="BA83" i="4"/>
  <c r="AW83" i="4"/>
  <c r="AS83" i="4"/>
  <c r="AX83" i="4"/>
  <c r="AT83" i="4"/>
  <c r="BD83" i="4"/>
  <c r="BC105" i="4"/>
  <c r="AZ79" i="4"/>
  <c r="AV79" i="4"/>
  <c r="AR79" i="4"/>
  <c r="BA79" i="4"/>
  <c r="AW79" i="4"/>
  <c r="AS79" i="4"/>
  <c r="AX79" i="4"/>
  <c r="AT79" i="4"/>
  <c r="AY79" i="4"/>
  <c r="AU79" i="4"/>
  <c r="BD79" i="4"/>
  <c r="BI83" i="4"/>
  <c r="BI85" i="4"/>
  <c r="AZ80" i="4"/>
  <c r="AV80" i="4"/>
  <c r="AR80" i="4"/>
  <c r="BA80" i="4"/>
  <c r="AW80" i="4"/>
  <c r="AS80" i="4"/>
  <c r="AU80" i="4"/>
  <c r="AX80" i="4"/>
  <c r="AT80" i="4"/>
  <c r="AY80" i="4"/>
  <c r="BD80" i="4"/>
  <c r="AY104" i="4"/>
  <c r="AU104" i="4"/>
  <c r="AZ104" i="4"/>
  <c r="AV104" i="4"/>
  <c r="AR104" i="4"/>
  <c r="BA104" i="4"/>
  <c r="AW104" i="4"/>
  <c r="AS104" i="4"/>
  <c r="AX104" i="4"/>
  <c r="AT104" i="4"/>
  <c r="BD104" i="4"/>
  <c r="AY85" i="4"/>
  <c r="AU85" i="4"/>
  <c r="AZ85" i="4"/>
  <c r="AV85" i="4"/>
  <c r="AR85" i="4"/>
  <c r="BA85" i="4"/>
  <c r="AW85" i="4"/>
  <c r="AS85" i="4"/>
  <c r="AX85" i="4"/>
  <c r="AT85" i="4"/>
  <c r="BD85" i="4"/>
  <c r="BC104" i="4"/>
  <c r="BC80" i="4"/>
  <c r="BH86" i="4" l="1"/>
  <c r="BP86" i="4"/>
  <c r="BJ86" i="4"/>
  <c r="BL86" i="4"/>
  <c r="BO86" i="4"/>
  <c r="BG86" i="4"/>
  <c r="BK86" i="4"/>
  <c r="BM86" i="4"/>
  <c r="BF86" i="4"/>
  <c r="BB86" i="4"/>
  <c r="BE86" i="4" s="1"/>
  <c r="BN86" i="4"/>
  <c r="BH84" i="4"/>
  <c r="BJ84" i="4"/>
  <c r="BL84" i="4"/>
  <c r="BO84" i="4"/>
  <c r="BG84" i="4"/>
  <c r="BK84" i="4"/>
  <c r="BP84" i="4"/>
  <c r="BM84" i="4"/>
  <c r="BF84" i="4"/>
  <c r="BB84" i="4"/>
  <c r="BE84" i="4" s="1"/>
  <c r="BN84" i="4"/>
  <c r="BH116" i="4"/>
  <c r="BJ116" i="4"/>
  <c r="BL116" i="4"/>
  <c r="BO116" i="4"/>
  <c r="BG116" i="4"/>
  <c r="BK116" i="4"/>
  <c r="BP116" i="4"/>
  <c r="BM116" i="4"/>
  <c r="BF116" i="4"/>
  <c r="BB116" i="4"/>
  <c r="BE116" i="4" s="1"/>
  <c r="BN116" i="4"/>
  <c r="BH115" i="4"/>
  <c r="BP115" i="4"/>
  <c r="BJ115" i="4"/>
  <c r="BL115" i="4"/>
  <c r="BO115" i="4"/>
  <c r="BG115" i="4"/>
  <c r="BK115" i="4"/>
  <c r="BM115" i="4"/>
  <c r="BF115" i="4"/>
  <c r="BB115" i="4"/>
  <c r="BE115" i="4" s="1"/>
  <c r="BN115" i="4"/>
  <c r="BH109" i="4"/>
  <c r="BP109" i="4"/>
  <c r="BJ109" i="4"/>
  <c r="BL109" i="4"/>
  <c r="BO109" i="4"/>
  <c r="BG109" i="4"/>
  <c r="BK109" i="4"/>
  <c r="BM109" i="4"/>
  <c r="BF109" i="4"/>
  <c r="BB109" i="4"/>
  <c r="BE109" i="4" s="1"/>
  <c r="BN109" i="4"/>
  <c r="BH81" i="4"/>
  <c r="BP81" i="4"/>
  <c r="BJ81" i="4"/>
  <c r="BL81" i="4"/>
  <c r="BO81" i="4"/>
  <c r="BG81" i="4"/>
  <c r="BK81" i="4"/>
  <c r="BM81" i="4"/>
  <c r="BF81" i="4"/>
  <c r="BB81" i="4"/>
  <c r="BE81" i="4" s="1"/>
  <c r="BN81" i="4"/>
  <c r="BQ110" i="4"/>
  <c r="DL110" i="4"/>
  <c r="DM110" i="4" s="1"/>
  <c r="BP111" i="4"/>
  <c r="BH111" i="4"/>
  <c r="BN113" i="4"/>
  <c r="BB113" i="4"/>
  <c r="BE113" i="4" s="1"/>
  <c r="BF113" i="4"/>
  <c r="BM113" i="4"/>
  <c r="BP112" i="4"/>
  <c r="BH112" i="4"/>
  <c r="BN111" i="4"/>
  <c r="BB111" i="4"/>
  <c r="BE111" i="4" s="1"/>
  <c r="BF111" i="4"/>
  <c r="BM111" i="4"/>
  <c r="BJ113" i="4"/>
  <c r="BK113" i="4"/>
  <c r="BG113" i="4"/>
  <c r="BN112" i="4"/>
  <c r="BB112" i="4"/>
  <c r="BE112" i="4" s="1"/>
  <c r="BF112" i="4"/>
  <c r="BM112" i="4"/>
  <c r="BJ111" i="4"/>
  <c r="BK111" i="4"/>
  <c r="BG111" i="4"/>
  <c r="BI112" i="4"/>
  <c r="BO113" i="4"/>
  <c r="BL113" i="4"/>
  <c r="BJ112" i="4"/>
  <c r="BK112" i="4"/>
  <c r="BG112" i="4"/>
  <c r="BI111" i="4"/>
  <c r="BO111" i="4"/>
  <c r="BL111" i="4"/>
  <c r="BI113" i="4"/>
  <c r="BP113" i="4"/>
  <c r="BH113" i="4"/>
  <c r="BO112" i="4"/>
  <c r="BL112" i="4"/>
  <c r="BP114" i="4"/>
  <c r="BH114" i="4"/>
  <c r="BN114" i="4"/>
  <c r="BB114" i="4"/>
  <c r="BE114" i="4" s="1"/>
  <c r="BF114" i="4"/>
  <c r="BM114" i="4"/>
  <c r="BJ114" i="4"/>
  <c r="BK114" i="4"/>
  <c r="BG114" i="4"/>
  <c r="BO114" i="4"/>
  <c r="BL114" i="4"/>
  <c r="BM85" i="4"/>
  <c r="BL80" i="4"/>
  <c r="BJ79" i="4"/>
  <c r="BM79" i="4"/>
  <c r="BF79" i="4"/>
  <c r="BB79" i="4"/>
  <c r="BE79" i="4" s="1"/>
  <c r="BH83" i="4"/>
  <c r="BP83" i="4"/>
  <c r="BH105" i="4"/>
  <c r="BL105" i="4"/>
  <c r="BH104" i="4"/>
  <c r="BP85" i="4"/>
  <c r="BJ104" i="4"/>
  <c r="BK80" i="4"/>
  <c r="BP79" i="4"/>
  <c r="BL83" i="4"/>
  <c r="BG105" i="4"/>
  <c r="BK105" i="4"/>
  <c r="BI104" i="4"/>
  <c r="BN85" i="4"/>
  <c r="BP104" i="4"/>
  <c r="BH80" i="4"/>
  <c r="BO80" i="4"/>
  <c r="BO105" i="4"/>
  <c r="BH85" i="4"/>
  <c r="BL104" i="4"/>
  <c r="BN80" i="4"/>
  <c r="BH79" i="4"/>
  <c r="BI105" i="4"/>
  <c r="BJ83" i="4"/>
  <c r="BO83" i="4"/>
  <c r="BJ85" i="4"/>
  <c r="BL85" i="4"/>
  <c r="BO85" i="4"/>
  <c r="BG104" i="4"/>
  <c r="BK104" i="4"/>
  <c r="BJ80" i="4"/>
  <c r="BF80" i="4"/>
  <c r="BB80" i="4"/>
  <c r="BE80" i="4" s="1"/>
  <c r="BN79" i="4"/>
  <c r="BL79" i="4"/>
  <c r="BO79" i="4"/>
  <c r="BG83" i="4"/>
  <c r="BK83" i="4"/>
  <c r="BJ105" i="4"/>
  <c r="BN105" i="4"/>
  <c r="BF105" i="4"/>
  <c r="BB105" i="4"/>
  <c r="BE105" i="4" s="1"/>
  <c r="BF85" i="4"/>
  <c r="BB85" i="4"/>
  <c r="BE85" i="4" s="1"/>
  <c r="BI80" i="4"/>
  <c r="BO104" i="4"/>
  <c r="BG80" i="4"/>
  <c r="BG85" i="4"/>
  <c r="BK85" i="4"/>
  <c r="BM104" i="4"/>
  <c r="BF104" i="4"/>
  <c r="BB104" i="4"/>
  <c r="BE104" i="4" s="1"/>
  <c r="BN104" i="4"/>
  <c r="BM80" i="4"/>
  <c r="BP80" i="4"/>
  <c r="BG79" i="4"/>
  <c r="BK79" i="4"/>
  <c r="BM83" i="4"/>
  <c r="BF83" i="4"/>
  <c r="BB83" i="4"/>
  <c r="BE83" i="4" s="1"/>
  <c r="BN83" i="4"/>
  <c r="BM105" i="4"/>
  <c r="BP105" i="4"/>
  <c r="DN110" i="4" l="1"/>
  <c r="DL79" i="4"/>
  <c r="DM79" i="4" s="1"/>
  <c r="DL80" i="4"/>
  <c r="DM80" i="4" s="1"/>
  <c r="DL85" i="4"/>
  <c r="DM85" i="4" s="1"/>
  <c r="DL86" i="4"/>
  <c r="DM86" i="4" s="1"/>
  <c r="DL104" i="4"/>
  <c r="DM104" i="4" s="1"/>
  <c r="DL105" i="4"/>
  <c r="DM105" i="4" s="1"/>
  <c r="DL83" i="4"/>
  <c r="DM83" i="4" s="1"/>
  <c r="DN83" i="4" s="1"/>
  <c r="BQ86" i="4"/>
  <c r="DL84" i="4"/>
  <c r="DM84" i="4" s="1"/>
  <c r="BQ84" i="4"/>
  <c r="DL116" i="4"/>
  <c r="DM116" i="4" s="1"/>
  <c r="BQ116" i="4"/>
  <c r="DL115" i="4"/>
  <c r="DM115" i="4" s="1"/>
  <c r="BQ115" i="4"/>
  <c r="DL109" i="4"/>
  <c r="DM109" i="4" s="1"/>
  <c r="BQ109" i="4"/>
  <c r="DL81" i="4"/>
  <c r="DM81" i="4" s="1"/>
  <c r="BQ81" i="4"/>
  <c r="BQ111" i="4"/>
  <c r="DL111" i="4"/>
  <c r="DM111" i="4" s="1"/>
  <c r="BQ112" i="4"/>
  <c r="DL112" i="4"/>
  <c r="DM112" i="4" s="1"/>
  <c r="BQ113" i="4"/>
  <c r="DL113" i="4"/>
  <c r="DM113" i="4" s="1"/>
  <c r="BQ114" i="4"/>
  <c r="DL114" i="4"/>
  <c r="DM114" i="4" s="1"/>
  <c r="BQ80" i="4"/>
  <c r="BQ105" i="4"/>
  <c r="BQ79" i="4"/>
  <c r="BQ83" i="4"/>
  <c r="BQ104" i="4"/>
  <c r="BQ85" i="4"/>
  <c r="DO84" i="4" l="1"/>
  <c r="DN84" i="4"/>
  <c r="DO81" i="4"/>
  <c r="DN81" i="4"/>
  <c r="DN114" i="4"/>
  <c r="DN116" i="4"/>
  <c r="DN113" i="4"/>
  <c r="DN112" i="4"/>
  <c r="DN109" i="4"/>
  <c r="DN115" i="4"/>
  <c r="DN111" i="4"/>
  <c r="DO83" i="4"/>
  <c r="DN104" i="4"/>
  <c r="DO85" i="4"/>
  <c r="DN85" i="4"/>
  <c r="DO79" i="4"/>
  <c r="DN79" i="4"/>
  <c r="DN105" i="4"/>
  <c r="DO86" i="4"/>
  <c r="DN86" i="4"/>
  <c r="DO80" i="4"/>
  <c r="DN80" i="4"/>
  <c r="X95" i="4" l="1"/>
  <c r="W95" i="4"/>
  <c r="V95" i="4"/>
  <c r="U95" i="4"/>
  <c r="T95" i="4"/>
  <c r="S95" i="4"/>
  <c r="R95" i="4"/>
  <c r="Q95" i="4"/>
  <c r="P95" i="4"/>
  <c r="O95" i="4"/>
  <c r="X94" i="4"/>
  <c r="W94" i="4"/>
  <c r="V94" i="4"/>
  <c r="U94" i="4"/>
  <c r="T94" i="4"/>
  <c r="S94" i="4"/>
  <c r="R94" i="4"/>
  <c r="Q94" i="4"/>
  <c r="P94" i="4"/>
  <c r="O94" i="4"/>
  <c r="C95" i="4"/>
  <c r="C94" i="4"/>
  <c r="B95" i="4"/>
  <c r="B94" i="4"/>
  <c r="H95" i="4"/>
  <c r="H94" i="4"/>
  <c r="G95" i="4"/>
  <c r="DF95" i="4" s="1"/>
  <c r="G94" i="4"/>
  <c r="E92" i="4"/>
  <c r="E91" i="4"/>
  <c r="E90" i="4"/>
  <c r="E88" i="4"/>
  <c r="E77" i="4"/>
  <c r="E76" i="4"/>
  <c r="E75" i="4"/>
  <c r="E74" i="4"/>
  <c r="E108" i="4"/>
  <c r="E73" i="4"/>
  <c r="E71" i="4"/>
  <c r="E70" i="4"/>
  <c r="E69" i="4"/>
  <c r="E68" i="4"/>
  <c r="E107" i="4"/>
  <c r="E67" i="4"/>
  <c r="E66" i="4"/>
  <c r="E10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17" i="4"/>
  <c r="E14" i="4"/>
  <c r="E13" i="4"/>
  <c r="E12" i="4"/>
  <c r="E10" i="4"/>
  <c r="E9" i="4"/>
  <c r="E8" i="4"/>
  <c r="E7" i="4"/>
  <c r="E6" i="4"/>
  <c r="E5" i="4"/>
  <c r="DF94" i="4" l="1"/>
  <c r="H96" i="4"/>
  <c r="C96" i="4"/>
  <c r="DG108" i="4"/>
  <c r="AO108" i="4"/>
  <c r="AN108" i="4"/>
  <c r="AM108" i="4"/>
  <c r="AL108" i="4"/>
  <c r="AK108" i="4"/>
  <c r="AJ108" i="4"/>
  <c r="AI108" i="4"/>
  <c r="AH108" i="4"/>
  <c r="AG108" i="4"/>
  <c r="AF108" i="4"/>
  <c r="AC108" i="4"/>
  <c r="Y108" i="4"/>
  <c r="D108" i="4"/>
  <c r="I108" i="4"/>
  <c r="DG107" i="4"/>
  <c r="AO107" i="4"/>
  <c r="AN107" i="4"/>
  <c r="AM107" i="4"/>
  <c r="AL107" i="4"/>
  <c r="AK107" i="4"/>
  <c r="AJ107" i="4"/>
  <c r="AI107" i="4"/>
  <c r="AH107" i="4"/>
  <c r="AG107" i="4"/>
  <c r="AF107" i="4"/>
  <c r="AC107" i="4"/>
  <c r="Y107" i="4"/>
  <c r="D107" i="4"/>
  <c r="I107" i="4"/>
  <c r="DG106" i="4"/>
  <c r="AO106" i="4"/>
  <c r="AN106" i="4"/>
  <c r="AM106" i="4"/>
  <c r="AL106" i="4"/>
  <c r="AK106" i="4"/>
  <c r="AJ106" i="4"/>
  <c r="AI106" i="4"/>
  <c r="AH106" i="4"/>
  <c r="AG106" i="4"/>
  <c r="AF106" i="4"/>
  <c r="AC106" i="4"/>
  <c r="Y106" i="4"/>
  <c r="D106" i="4"/>
  <c r="I106" i="4"/>
  <c r="D92" i="4"/>
  <c r="D91" i="4"/>
  <c r="D90" i="4"/>
  <c r="D8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10" i="4"/>
  <c r="D9" i="4"/>
  <c r="D8" i="4"/>
  <c r="D7" i="4"/>
  <c r="D6" i="4"/>
  <c r="D5" i="4"/>
  <c r="D34" i="4"/>
  <c r="D33" i="4"/>
  <c r="D32" i="4"/>
  <c r="D31" i="4"/>
  <c r="D30" i="4"/>
  <c r="D29" i="4"/>
  <c r="D28" i="4"/>
  <c r="D27" i="4"/>
  <c r="D26" i="4"/>
  <c r="D25" i="4"/>
  <c r="D23" i="4"/>
  <c r="D22" i="4"/>
  <c r="D21" i="4"/>
  <c r="D20" i="4"/>
  <c r="D19" i="4"/>
  <c r="D18" i="4"/>
  <c r="D17" i="4"/>
  <c r="D16" i="4"/>
  <c r="D15" i="4"/>
  <c r="D117" i="4"/>
  <c r="D14" i="4"/>
  <c r="D13" i="4"/>
  <c r="D12" i="4"/>
  <c r="D24" i="4"/>
  <c r="DI106" i="4" l="1"/>
  <c r="DH106" i="4"/>
  <c r="DI107" i="4"/>
  <c r="DH107" i="4"/>
  <c r="DI108" i="4"/>
  <c r="DH108" i="4"/>
  <c r="D94" i="4"/>
  <c r="D95" i="4"/>
  <c r="AB108" i="4"/>
  <c r="AP108" i="4"/>
  <c r="AB107" i="4"/>
  <c r="AP107" i="4"/>
  <c r="AB106" i="4"/>
  <c r="AP106" i="4"/>
  <c r="AD108" i="4" l="1"/>
  <c r="BC108" i="4" s="1"/>
  <c r="AD107" i="4"/>
  <c r="BC107" i="4" s="1"/>
  <c r="AD106" i="4"/>
  <c r="BC106" i="4" s="1"/>
  <c r="BI108" i="4" l="1"/>
  <c r="AY108" i="4"/>
  <c r="AU108" i="4"/>
  <c r="AX108" i="4"/>
  <c r="AZ108" i="4"/>
  <c r="AV108" i="4"/>
  <c r="AR108" i="4"/>
  <c r="BA108" i="4"/>
  <c r="AW108" i="4"/>
  <c r="AS108" i="4"/>
  <c r="AT108" i="4"/>
  <c r="BD108" i="4"/>
  <c r="BI107" i="4"/>
  <c r="AY107" i="4"/>
  <c r="AU107" i="4"/>
  <c r="AZ107" i="4"/>
  <c r="AV107" i="4"/>
  <c r="AR107" i="4"/>
  <c r="BA107" i="4"/>
  <c r="AW107" i="4"/>
  <c r="AS107" i="4"/>
  <c r="AX107" i="4"/>
  <c r="AT107" i="4"/>
  <c r="BD107" i="4"/>
  <c r="BI106" i="4"/>
  <c r="AY106" i="4"/>
  <c r="AU106" i="4"/>
  <c r="AZ106" i="4"/>
  <c r="AV106" i="4"/>
  <c r="AR106" i="4"/>
  <c r="BA106" i="4"/>
  <c r="AW106" i="4"/>
  <c r="AS106" i="4"/>
  <c r="AX106" i="4"/>
  <c r="AT106" i="4"/>
  <c r="BD106" i="4"/>
  <c r="BH108" i="4" l="1"/>
  <c r="BF108" i="4"/>
  <c r="BB108" i="4"/>
  <c r="BE108" i="4" s="1"/>
  <c r="BJ108" i="4"/>
  <c r="BP108" i="4"/>
  <c r="BM108" i="4"/>
  <c r="BL108" i="4"/>
  <c r="BO108" i="4"/>
  <c r="BG108" i="4"/>
  <c r="BK108" i="4"/>
  <c r="BN108" i="4"/>
  <c r="BH107" i="4"/>
  <c r="BP107" i="4"/>
  <c r="BJ107" i="4"/>
  <c r="BL107" i="4"/>
  <c r="BO107" i="4"/>
  <c r="BG107" i="4"/>
  <c r="BK107" i="4"/>
  <c r="BM107" i="4"/>
  <c r="BF107" i="4"/>
  <c r="BB107" i="4"/>
  <c r="BE107" i="4" s="1"/>
  <c r="BN107" i="4"/>
  <c r="BP106" i="4"/>
  <c r="BJ106" i="4"/>
  <c r="BG106" i="4"/>
  <c r="BK106" i="4"/>
  <c r="BH106" i="4"/>
  <c r="BL106" i="4"/>
  <c r="BO106" i="4"/>
  <c r="BM106" i="4"/>
  <c r="BF106" i="4"/>
  <c r="BB106" i="4"/>
  <c r="BE106" i="4" s="1"/>
  <c r="BN106" i="4"/>
  <c r="DL108" i="4" l="1"/>
  <c r="DM108" i="4" s="1"/>
  <c r="DL106" i="4"/>
  <c r="DM106" i="4" s="1"/>
  <c r="DL107" i="4"/>
  <c r="DM107" i="4" s="1"/>
  <c r="BQ108" i="4"/>
  <c r="BQ107" i="4"/>
  <c r="BQ106" i="4"/>
  <c r="DO107" i="4" l="1"/>
  <c r="DN107" i="4"/>
  <c r="DO108" i="4"/>
  <c r="DN108" i="4"/>
  <c r="DO106" i="4"/>
  <c r="DN106" i="4"/>
  <c r="DG37" i="4" l="1"/>
  <c r="AO37" i="4"/>
  <c r="AN37" i="4"/>
  <c r="AM37" i="4"/>
  <c r="AL37" i="4"/>
  <c r="AK37" i="4"/>
  <c r="AJ37" i="4"/>
  <c r="AI37" i="4"/>
  <c r="AH37" i="4"/>
  <c r="AG37" i="4"/>
  <c r="AF37" i="4"/>
  <c r="AC37" i="4"/>
  <c r="Y37" i="4"/>
  <c r="I37" i="4"/>
  <c r="DI37" i="4" l="1"/>
  <c r="DH37" i="4"/>
  <c r="AB37" i="4"/>
  <c r="AP37" i="4"/>
  <c r="AF7" i="4"/>
  <c r="AD37" i="4" l="1"/>
  <c r="BC37" i="4" s="1"/>
  <c r="BI37" i="4" l="1"/>
  <c r="AY37" i="4"/>
  <c r="AU37" i="4"/>
  <c r="AW37" i="4"/>
  <c r="AZ37" i="4"/>
  <c r="AV37" i="4"/>
  <c r="AR37" i="4"/>
  <c r="AS37" i="4"/>
  <c r="AX37" i="4"/>
  <c r="AT37" i="4"/>
  <c r="BA37" i="4"/>
  <c r="BD37" i="4"/>
  <c r="BH37" i="4" l="1"/>
  <c r="BN37" i="4"/>
  <c r="BP37" i="4"/>
  <c r="BF37" i="4"/>
  <c r="BB37" i="4"/>
  <c r="BE37" i="4" s="1"/>
  <c r="BJ37" i="4"/>
  <c r="BG37" i="4"/>
  <c r="BL37" i="4"/>
  <c r="BK37" i="4"/>
  <c r="BM37" i="4"/>
  <c r="BO37" i="4"/>
  <c r="DL37" i="4" l="1"/>
  <c r="DM37" i="4" s="1"/>
  <c r="BQ37" i="4"/>
  <c r="AO88" i="4"/>
  <c r="AN88" i="4"/>
  <c r="AM88" i="4"/>
  <c r="AL88" i="4"/>
  <c r="AK88" i="4"/>
  <c r="AJ88" i="4"/>
  <c r="AI88" i="4"/>
  <c r="AH88" i="4"/>
  <c r="AG88" i="4"/>
  <c r="AF88" i="4"/>
  <c r="AF90" i="4"/>
  <c r="AO92" i="4"/>
  <c r="AN92" i="4"/>
  <c r="AM92" i="4"/>
  <c r="AL92" i="4"/>
  <c r="AK92" i="4"/>
  <c r="AJ92" i="4"/>
  <c r="AI92" i="4"/>
  <c r="AH92" i="4"/>
  <c r="AG92" i="4"/>
  <c r="AF92" i="4"/>
  <c r="AO91" i="4"/>
  <c r="AN91" i="4"/>
  <c r="AM91" i="4"/>
  <c r="AL91" i="4"/>
  <c r="AK91" i="4"/>
  <c r="AJ91" i="4"/>
  <c r="AI91" i="4"/>
  <c r="AH91" i="4"/>
  <c r="AG91" i="4"/>
  <c r="AF91" i="4"/>
  <c r="AO90" i="4"/>
  <c r="AN90" i="4"/>
  <c r="AM90" i="4"/>
  <c r="AL90" i="4"/>
  <c r="AK90" i="4"/>
  <c r="AJ90" i="4"/>
  <c r="AI90" i="4"/>
  <c r="AH90" i="4"/>
  <c r="AG90" i="4"/>
  <c r="AO73" i="4"/>
  <c r="AN73" i="4"/>
  <c r="AM73" i="4"/>
  <c r="AL73" i="4"/>
  <c r="AK73" i="4"/>
  <c r="AJ73" i="4"/>
  <c r="AI73" i="4"/>
  <c r="AH73" i="4"/>
  <c r="AG73" i="4"/>
  <c r="AF73" i="4"/>
  <c r="AO72" i="4"/>
  <c r="AN72" i="4"/>
  <c r="AM72" i="4"/>
  <c r="AL72" i="4"/>
  <c r="AK72" i="4"/>
  <c r="AJ72" i="4"/>
  <c r="AI72" i="4"/>
  <c r="AH72" i="4"/>
  <c r="AG72" i="4"/>
  <c r="AF72" i="4"/>
  <c r="AO71" i="4"/>
  <c r="AN71" i="4"/>
  <c r="AM71" i="4"/>
  <c r="AL71" i="4"/>
  <c r="AK71" i="4"/>
  <c r="AJ71" i="4"/>
  <c r="AI71" i="4"/>
  <c r="AH71" i="4"/>
  <c r="AG71" i="4"/>
  <c r="AF71" i="4"/>
  <c r="AO70" i="4"/>
  <c r="AN70" i="4"/>
  <c r="AM70" i="4"/>
  <c r="AL70" i="4"/>
  <c r="AK70" i="4"/>
  <c r="AJ70" i="4"/>
  <c r="AI70" i="4"/>
  <c r="AH70" i="4"/>
  <c r="AG70" i="4"/>
  <c r="AF70" i="4"/>
  <c r="AO69" i="4"/>
  <c r="AN69" i="4"/>
  <c r="AM69" i="4"/>
  <c r="AL69" i="4"/>
  <c r="AK69" i="4"/>
  <c r="AJ69" i="4"/>
  <c r="AI69" i="4"/>
  <c r="AH69" i="4"/>
  <c r="AG69" i="4"/>
  <c r="AF69" i="4"/>
  <c r="AO68" i="4"/>
  <c r="AN68" i="4"/>
  <c r="AM68" i="4"/>
  <c r="AL68" i="4"/>
  <c r="AK68" i="4"/>
  <c r="AJ68" i="4"/>
  <c r="AI68" i="4"/>
  <c r="AH68" i="4"/>
  <c r="AG68" i="4"/>
  <c r="AF68" i="4"/>
  <c r="AO67" i="4"/>
  <c r="AN67" i="4"/>
  <c r="AM67" i="4"/>
  <c r="AL67" i="4"/>
  <c r="AK67" i="4"/>
  <c r="AJ67" i="4"/>
  <c r="AI67" i="4"/>
  <c r="AH67" i="4"/>
  <c r="AG67" i="4"/>
  <c r="AF67" i="4"/>
  <c r="AO66" i="4"/>
  <c r="AN66" i="4"/>
  <c r="AM66" i="4"/>
  <c r="AL66" i="4"/>
  <c r="AK66" i="4"/>
  <c r="AJ66" i="4"/>
  <c r="AI66" i="4"/>
  <c r="AH66" i="4"/>
  <c r="AG66" i="4"/>
  <c r="AF66" i="4"/>
  <c r="AO65" i="4"/>
  <c r="AN65" i="4"/>
  <c r="AM65" i="4"/>
  <c r="AL65" i="4"/>
  <c r="AK65" i="4"/>
  <c r="AJ65" i="4"/>
  <c r="AI65" i="4"/>
  <c r="AH65" i="4"/>
  <c r="AG65" i="4"/>
  <c r="AF65" i="4"/>
  <c r="AO64" i="4"/>
  <c r="AN64" i="4"/>
  <c r="AM64" i="4"/>
  <c r="AL64" i="4"/>
  <c r="AK64" i="4"/>
  <c r="AJ64" i="4"/>
  <c r="AI64" i="4"/>
  <c r="AH64" i="4"/>
  <c r="AG64" i="4"/>
  <c r="AF64" i="4"/>
  <c r="AO63" i="4"/>
  <c r="AN63" i="4"/>
  <c r="AM63" i="4"/>
  <c r="AL63" i="4"/>
  <c r="AK63" i="4"/>
  <c r="AJ63" i="4"/>
  <c r="AI63" i="4"/>
  <c r="AH63" i="4"/>
  <c r="AG63" i="4"/>
  <c r="AF63" i="4"/>
  <c r="AO62" i="4"/>
  <c r="AN62" i="4"/>
  <c r="AM62" i="4"/>
  <c r="AL62" i="4"/>
  <c r="AK62" i="4"/>
  <c r="AJ62" i="4"/>
  <c r="AI62" i="4"/>
  <c r="AH62" i="4"/>
  <c r="AG62" i="4"/>
  <c r="AF62" i="4"/>
  <c r="AO61" i="4"/>
  <c r="AN61" i="4"/>
  <c r="AM61" i="4"/>
  <c r="AL61" i="4"/>
  <c r="AK61" i="4"/>
  <c r="AJ61" i="4"/>
  <c r="AI61" i="4"/>
  <c r="AH61" i="4"/>
  <c r="AG61" i="4"/>
  <c r="AF61" i="4"/>
  <c r="AO60" i="4"/>
  <c r="AN60" i="4"/>
  <c r="AM60" i="4"/>
  <c r="AL60" i="4"/>
  <c r="AK60" i="4"/>
  <c r="AJ60" i="4"/>
  <c r="AI60" i="4"/>
  <c r="AH60" i="4"/>
  <c r="AG60" i="4"/>
  <c r="AF60" i="4"/>
  <c r="AO59" i="4"/>
  <c r="AN59" i="4"/>
  <c r="AM59" i="4"/>
  <c r="AL59" i="4"/>
  <c r="AK59" i="4"/>
  <c r="AJ59" i="4"/>
  <c r="AI59" i="4"/>
  <c r="AH59" i="4"/>
  <c r="AG59" i="4"/>
  <c r="AF59" i="4"/>
  <c r="AO58" i="4"/>
  <c r="AN58" i="4"/>
  <c r="AM58" i="4"/>
  <c r="AL58" i="4"/>
  <c r="AK58" i="4"/>
  <c r="AJ58" i="4"/>
  <c r="AI58" i="4"/>
  <c r="AH58" i="4"/>
  <c r="AG58" i="4"/>
  <c r="AF58" i="4"/>
  <c r="AO57" i="4"/>
  <c r="AN57" i="4"/>
  <c r="AM57" i="4"/>
  <c r="AL57" i="4"/>
  <c r="AK57" i="4"/>
  <c r="AJ57" i="4"/>
  <c r="AI57" i="4"/>
  <c r="AH57" i="4"/>
  <c r="AG57" i="4"/>
  <c r="AF57" i="4"/>
  <c r="AO56" i="4"/>
  <c r="AN56" i="4"/>
  <c r="AM56" i="4"/>
  <c r="AL56" i="4"/>
  <c r="AK56" i="4"/>
  <c r="AJ56" i="4"/>
  <c r="AI56" i="4"/>
  <c r="AH56" i="4"/>
  <c r="AG56" i="4"/>
  <c r="AF56" i="4"/>
  <c r="AO55" i="4"/>
  <c r="AN55" i="4"/>
  <c r="AM55" i="4"/>
  <c r="AL55" i="4"/>
  <c r="AK55" i="4"/>
  <c r="AJ55" i="4"/>
  <c r="AI55" i="4"/>
  <c r="AH55" i="4"/>
  <c r="AG55" i="4"/>
  <c r="AF55" i="4"/>
  <c r="AO54" i="4"/>
  <c r="AN54" i="4"/>
  <c r="AM54" i="4"/>
  <c r="AL54" i="4"/>
  <c r="AK54" i="4"/>
  <c r="AJ54" i="4"/>
  <c r="AI54" i="4"/>
  <c r="AH54" i="4"/>
  <c r="AG54" i="4"/>
  <c r="AF54" i="4"/>
  <c r="AO53" i="4"/>
  <c r="AN53" i="4"/>
  <c r="AM53" i="4"/>
  <c r="AL53" i="4"/>
  <c r="AK53" i="4"/>
  <c r="AJ53" i="4"/>
  <c r="AI53" i="4"/>
  <c r="AH53" i="4"/>
  <c r="AG53" i="4"/>
  <c r="AF53" i="4"/>
  <c r="AO52" i="4"/>
  <c r="AN52" i="4"/>
  <c r="AM52" i="4"/>
  <c r="AL52" i="4"/>
  <c r="AK52" i="4"/>
  <c r="AJ52" i="4"/>
  <c r="AI52" i="4"/>
  <c r="AH52" i="4"/>
  <c r="AG52" i="4"/>
  <c r="AF52" i="4"/>
  <c r="AO51" i="4"/>
  <c r="AN51" i="4"/>
  <c r="AM51" i="4"/>
  <c r="AL51" i="4"/>
  <c r="AK51" i="4"/>
  <c r="AJ51" i="4"/>
  <c r="AI51" i="4"/>
  <c r="AH51" i="4"/>
  <c r="AG51" i="4"/>
  <c r="AF51" i="4"/>
  <c r="AO50" i="4"/>
  <c r="AN50" i="4"/>
  <c r="AM50" i="4"/>
  <c r="AL50" i="4"/>
  <c r="AK50" i="4"/>
  <c r="AJ50" i="4"/>
  <c r="AI50" i="4"/>
  <c r="AH50" i="4"/>
  <c r="AG50" i="4"/>
  <c r="AF50" i="4"/>
  <c r="AO49" i="4"/>
  <c r="AN49" i="4"/>
  <c r="AM49" i="4"/>
  <c r="AL49" i="4"/>
  <c r="AK49" i="4"/>
  <c r="AJ49" i="4"/>
  <c r="AI49" i="4"/>
  <c r="AH49" i="4"/>
  <c r="AG49" i="4"/>
  <c r="AF49" i="4"/>
  <c r="AO48" i="4"/>
  <c r="AN48" i="4"/>
  <c r="AM48" i="4"/>
  <c r="AL48" i="4"/>
  <c r="AK48" i="4"/>
  <c r="AJ48" i="4"/>
  <c r="AI48" i="4"/>
  <c r="AH48" i="4"/>
  <c r="AG48" i="4"/>
  <c r="AF48" i="4"/>
  <c r="AO47" i="4"/>
  <c r="AN47" i="4"/>
  <c r="AM47" i="4"/>
  <c r="AL47" i="4"/>
  <c r="AK47" i="4"/>
  <c r="AJ47" i="4"/>
  <c r="AI47" i="4"/>
  <c r="AH47" i="4"/>
  <c r="AG47" i="4"/>
  <c r="AF47" i="4"/>
  <c r="AO46" i="4"/>
  <c r="AN46" i="4"/>
  <c r="AM46" i="4"/>
  <c r="AL46" i="4"/>
  <c r="AK46" i="4"/>
  <c r="AJ46" i="4"/>
  <c r="AI46" i="4"/>
  <c r="AH46" i="4"/>
  <c r="AG46" i="4"/>
  <c r="AF46" i="4"/>
  <c r="AO45" i="4"/>
  <c r="AN45" i="4"/>
  <c r="AM45" i="4"/>
  <c r="AL45" i="4"/>
  <c r="AK45" i="4"/>
  <c r="AJ45" i="4"/>
  <c r="AI45" i="4"/>
  <c r="AH45" i="4"/>
  <c r="AG45" i="4"/>
  <c r="AF45" i="4"/>
  <c r="AO44" i="4"/>
  <c r="AN44" i="4"/>
  <c r="AM44" i="4"/>
  <c r="AL44" i="4"/>
  <c r="AK44" i="4"/>
  <c r="AJ44" i="4"/>
  <c r="AI44" i="4"/>
  <c r="AH44" i="4"/>
  <c r="AG44" i="4"/>
  <c r="AF44" i="4"/>
  <c r="AO41" i="4"/>
  <c r="AN41" i="4"/>
  <c r="AM41" i="4"/>
  <c r="AL41" i="4"/>
  <c r="AK41" i="4"/>
  <c r="AJ41" i="4"/>
  <c r="AI41" i="4"/>
  <c r="AH41" i="4"/>
  <c r="AG41" i="4"/>
  <c r="AF41" i="4"/>
  <c r="AO40" i="4"/>
  <c r="AN40" i="4"/>
  <c r="AM40" i="4"/>
  <c r="AL40" i="4"/>
  <c r="AK40" i="4"/>
  <c r="AJ40" i="4"/>
  <c r="AI40" i="4"/>
  <c r="AH40" i="4"/>
  <c r="AG40" i="4"/>
  <c r="AF40" i="4"/>
  <c r="AO39" i="4"/>
  <c r="AN39" i="4"/>
  <c r="AM39" i="4"/>
  <c r="AL39" i="4"/>
  <c r="AK39" i="4"/>
  <c r="AJ39" i="4"/>
  <c r="AI39" i="4"/>
  <c r="AH39" i="4"/>
  <c r="AG39" i="4"/>
  <c r="AF39" i="4"/>
  <c r="AO36" i="4"/>
  <c r="AN36" i="4"/>
  <c r="AM36" i="4"/>
  <c r="AL36" i="4"/>
  <c r="AK36" i="4"/>
  <c r="AJ36" i="4"/>
  <c r="AI36" i="4"/>
  <c r="AH36" i="4"/>
  <c r="AG36" i="4"/>
  <c r="AF36" i="4"/>
  <c r="AO34" i="4"/>
  <c r="AN34" i="4"/>
  <c r="AM34" i="4"/>
  <c r="AL34" i="4"/>
  <c r="AK34" i="4"/>
  <c r="AJ34" i="4"/>
  <c r="AI34" i="4"/>
  <c r="AH34" i="4"/>
  <c r="AG34" i="4"/>
  <c r="AF34" i="4"/>
  <c r="AO33" i="4"/>
  <c r="AN33" i="4"/>
  <c r="AM33" i="4"/>
  <c r="AL33" i="4"/>
  <c r="AK33" i="4"/>
  <c r="AJ33" i="4"/>
  <c r="AI33" i="4"/>
  <c r="AH33" i="4"/>
  <c r="AG33" i="4"/>
  <c r="AF33" i="4"/>
  <c r="AO32" i="4"/>
  <c r="AN32" i="4"/>
  <c r="AM32" i="4"/>
  <c r="AL32" i="4"/>
  <c r="AK32" i="4"/>
  <c r="AJ32" i="4"/>
  <c r="AI32" i="4"/>
  <c r="AH32" i="4"/>
  <c r="AG32" i="4"/>
  <c r="AF32" i="4"/>
  <c r="AO31" i="4"/>
  <c r="AN31" i="4"/>
  <c r="AM31" i="4"/>
  <c r="AL31" i="4"/>
  <c r="AK31" i="4"/>
  <c r="AJ31" i="4"/>
  <c r="AI31" i="4"/>
  <c r="AH31" i="4"/>
  <c r="AG31" i="4"/>
  <c r="AF31" i="4"/>
  <c r="AO30" i="4"/>
  <c r="AN30" i="4"/>
  <c r="AM30" i="4"/>
  <c r="AL30" i="4"/>
  <c r="AK30" i="4"/>
  <c r="AJ30" i="4"/>
  <c r="AI30" i="4"/>
  <c r="AH30" i="4"/>
  <c r="AG30" i="4"/>
  <c r="AF30" i="4"/>
  <c r="AO29" i="4"/>
  <c r="AN29" i="4"/>
  <c r="AM29" i="4"/>
  <c r="AL29" i="4"/>
  <c r="AK29" i="4"/>
  <c r="AJ29" i="4"/>
  <c r="AI29" i="4"/>
  <c r="AH29" i="4"/>
  <c r="AG29" i="4"/>
  <c r="AF29" i="4"/>
  <c r="AO28" i="4"/>
  <c r="AN28" i="4"/>
  <c r="AM28" i="4"/>
  <c r="AL28" i="4"/>
  <c r="AK28" i="4"/>
  <c r="AJ28" i="4"/>
  <c r="AI28" i="4"/>
  <c r="AH28" i="4"/>
  <c r="AG28" i="4"/>
  <c r="AF28" i="4"/>
  <c r="AO27" i="4"/>
  <c r="AN27" i="4"/>
  <c r="AM27" i="4"/>
  <c r="AL27" i="4"/>
  <c r="AK27" i="4"/>
  <c r="AJ27" i="4"/>
  <c r="AI27" i="4"/>
  <c r="AH27" i="4"/>
  <c r="AG27" i="4"/>
  <c r="AF27" i="4"/>
  <c r="AO26" i="4"/>
  <c r="AN26" i="4"/>
  <c r="AM26" i="4"/>
  <c r="AL26" i="4"/>
  <c r="AK26" i="4"/>
  <c r="AJ26" i="4"/>
  <c r="AI26" i="4"/>
  <c r="AH26" i="4"/>
  <c r="AG26" i="4"/>
  <c r="AF26" i="4"/>
  <c r="AO25" i="4"/>
  <c r="AN25" i="4"/>
  <c r="AM25" i="4"/>
  <c r="AL25" i="4"/>
  <c r="AK25" i="4"/>
  <c r="AJ25" i="4"/>
  <c r="AI25" i="4"/>
  <c r="AH25" i="4"/>
  <c r="AG25" i="4"/>
  <c r="AF25" i="4"/>
  <c r="AO24" i="4"/>
  <c r="AN24" i="4"/>
  <c r="AM24" i="4"/>
  <c r="AL24" i="4"/>
  <c r="AK24" i="4"/>
  <c r="AJ24" i="4"/>
  <c r="AI24" i="4"/>
  <c r="AH24" i="4"/>
  <c r="AG24" i="4"/>
  <c r="AF24" i="4"/>
  <c r="AO23" i="4"/>
  <c r="AN23" i="4"/>
  <c r="AM23" i="4"/>
  <c r="AL23" i="4"/>
  <c r="AK23" i="4"/>
  <c r="AJ23" i="4"/>
  <c r="AI23" i="4"/>
  <c r="AH23" i="4"/>
  <c r="AG23" i="4"/>
  <c r="AF23" i="4"/>
  <c r="AO22" i="4"/>
  <c r="AN22" i="4"/>
  <c r="AM22" i="4"/>
  <c r="AL22" i="4"/>
  <c r="AK22" i="4"/>
  <c r="AJ22" i="4"/>
  <c r="AI22" i="4"/>
  <c r="AH22" i="4"/>
  <c r="AG22" i="4"/>
  <c r="AF22" i="4"/>
  <c r="AO21" i="4"/>
  <c r="AN21" i="4"/>
  <c r="AM21" i="4"/>
  <c r="AL21" i="4"/>
  <c r="AK21" i="4"/>
  <c r="AJ21" i="4"/>
  <c r="AI21" i="4"/>
  <c r="AH21" i="4"/>
  <c r="AG21" i="4"/>
  <c r="AF21" i="4"/>
  <c r="AO20" i="4"/>
  <c r="AN20" i="4"/>
  <c r="AM20" i="4"/>
  <c r="AL20" i="4"/>
  <c r="AK20" i="4"/>
  <c r="AJ20" i="4"/>
  <c r="AI20" i="4"/>
  <c r="AH20" i="4"/>
  <c r="AG20" i="4"/>
  <c r="AF20" i="4"/>
  <c r="AO19" i="4"/>
  <c r="AN19" i="4"/>
  <c r="AM19" i="4"/>
  <c r="AL19" i="4"/>
  <c r="AK19" i="4"/>
  <c r="AJ19" i="4"/>
  <c r="AI19" i="4"/>
  <c r="AH19" i="4"/>
  <c r="AG19" i="4"/>
  <c r="AF19" i="4"/>
  <c r="AO18" i="4"/>
  <c r="AN18" i="4"/>
  <c r="AM18" i="4"/>
  <c r="AL18" i="4"/>
  <c r="AK18" i="4"/>
  <c r="AJ18" i="4"/>
  <c r="AI18" i="4"/>
  <c r="AH18" i="4"/>
  <c r="AG18" i="4"/>
  <c r="AF18" i="4"/>
  <c r="AO17" i="4"/>
  <c r="AN17" i="4"/>
  <c r="AM17" i="4"/>
  <c r="AL17" i="4"/>
  <c r="AK17" i="4"/>
  <c r="AJ17" i="4"/>
  <c r="AI17" i="4"/>
  <c r="AH17" i="4"/>
  <c r="AG17" i="4"/>
  <c r="AF17" i="4"/>
  <c r="AO16" i="4"/>
  <c r="AN16" i="4"/>
  <c r="AM16" i="4"/>
  <c r="AL16" i="4"/>
  <c r="AK16" i="4"/>
  <c r="AJ16" i="4"/>
  <c r="AI16" i="4"/>
  <c r="AH16" i="4"/>
  <c r="AG16" i="4"/>
  <c r="AF16" i="4"/>
  <c r="AO15" i="4"/>
  <c r="AN15" i="4"/>
  <c r="AM15" i="4"/>
  <c r="AL15" i="4"/>
  <c r="AK15" i="4"/>
  <c r="AJ15" i="4"/>
  <c r="AI15" i="4"/>
  <c r="AH15" i="4"/>
  <c r="AG15" i="4"/>
  <c r="AF15" i="4"/>
  <c r="AO117" i="4"/>
  <c r="AN117" i="4"/>
  <c r="AM117" i="4"/>
  <c r="AL117" i="4"/>
  <c r="AK117" i="4"/>
  <c r="AJ117" i="4"/>
  <c r="AI117" i="4"/>
  <c r="AH117" i="4"/>
  <c r="AG117" i="4"/>
  <c r="AF117" i="4"/>
  <c r="AO14" i="4"/>
  <c r="AN14" i="4"/>
  <c r="AM14" i="4"/>
  <c r="AL14" i="4"/>
  <c r="AK14" i="4"/>
  <c r="AJ14" i="4"/>
  <c r="AI14" i="4"/>
  <c r="AH14" i="4"/>
  <c r="AG14" i="4"/>
  <c r="AF14" i="4"/>
  <c r="AO13" i="4"/>
  <c r="AN13" i="4"/>
  <c r="AM13" i="4"/>
  <c r="AL13" i="4"/>
  <c r="AK13" i="4"/>
  <c r="AJ13" i="4"/>
  <c r="AI13" i="4"/>
  <c r="AH13" i="4"/>
  <c r="AG13" i="4"/>
  <c r="AF13" i="4"/>
  <c r="AO12" i="4"/>
  <c r="AN12" i="4"/>
  <c r="AM12" i="4"/>
  <c r="AL12" i="4"/>
  <c r="AK12" i="4"/>
  <c r="AJ12" i="4"/>
  <c r="AI12" i="4"/>
  <c r="AH12" i="4"/>
  <c r="AG12" i="4"/>
  <c r="AF12" i="4"/>
  <c r="AO38" i="4"/>
  <c r="AN38" i="4"/>
  <c r="AM38" i="4"/>
  <c r="AL38" i="4"/>
  <c r="AK38" i="4"/>
  <c r="AJ38" i="4"/>
  <c r="AI38" i="4"/>
  <c r="AH38" i="4"/>
  <c r="AG38" i="4"/>
  <c r="AF38" i="4"/>
  <c r="AO8" i="4"/>
  <c r="AN8" i="4"/>
  <c r="AM8" i="4"/>
  <c r="AL8" i="4"/>
  <c r="AK8" i="4"/>
  <c r="AJ8" i="4"/>
  <c r="AI8" i="4"/>
  <c r="AH8" i="4"/>
  <c r="AG8" i="4"/>
  <c r="AF8" i="4"/>
  <c r="AO10" i="4"/>
  <c r="AN10" i="4"/>
  <c r="AM10" i="4"/>
  <c r="AL10" i="4"/>
  <c r="AK10" i="4"/>
  <c r="AJ10" i="4"/>
  <c r="AI10" i="4"/>
  <c r="AH10" i="4"/>
  <c r="AG10" i="4"/>
  <c r="AF10" i="4"/>
  <c r="AO9" i="4"/>
  <c r="AN9" i="4"/>
  <c r="AM9" i="4"/>
  <c r="AL9" i="4"/>
  <c r="AK9" i="4"/>
  <c r="AJ9" i="4"/>
  <c r="AI9" i="4"/>
  <c r="AH9" i="4"/>
  <c r="AG9" i="4"/>
  <c r="AF9" i="4"/>
  <c r="AO7" i="4"/>
  <c r="AN7" i="4"/>
  <c r="AM7" i="4"/>
  <c r="AL7" i="4"/>
  <c r="AK7" i="4"/>
  <c r="AJ7" i="4"/>
  <c r="AI7" i="4"/>
  <c r="AH7" i="4"/>
  <c r="AG7" i="4"/>
  <c r="AO6" i="4"/>
  <c r="AN6" i="4"/>
  <c r="AM6" i="4"/>
  <c r="AL6" i="4"/>
  <c r="AK6" i="4"/>
  <c r="AJ6" i="4"/>
  <c r="AI6" i="4"/>
  <c r="AH6" i="4"/>
  <c r="AG6" i="4"/>
  <c r="AF6" i="4"/>
  <c r="AH5" i="4"/>
  <c r="AI5" i="4"/>
  <c r="AJ5" i="4"/>
  <c r="AK5" i="4"/>
  <c r="AL5" i="4"/>
  <c r="AM5" i="4"/>
  <c r="AN5" i="4"/>
  <c r="AO5" i="4"/>
  <c r="AG5" i="4"/>
  <c r="AF5" i="4"/>
  <c r="DR5" i="4"/>
  <c r="DS5" i="4" s="1"/>
  <c r="DS96" i="4" s="1"/>
  <c r="DO37" i="4" l="1"/>
  <c r="DN37" i="4"/>
  <c r="AP31" i="4"/>
  <c r="AP92" i="4"/>
  <c r="AP10" i="4"/>
  <c r="AP8" i="4"/>
  <c r="AP38" i="4"/>
  <c r="AP13" i="4"/>
  <c r="AP14" i="4"/>
  <c r="AP7" i="4"/>
  <c r="AP9" i="4"/>
  <c r="AP88" i="4"/>
  <c r="AP117" i="4"/>
  <c r="AP18" i="4"/>
  <c r="AP30" i="4"/>
  <c r="AP34" i="4"/>
  <c r="AP41" i="4"/>
  <c r="AP44" i="4"/>
  <c r="AP45" i="4"/>
  <c r="AP47" i="4"/>
  <c r="AP48" i="4"/>
  <c r="AP49" i="4"/>
  <c r="AP51" i="4"/>
  <c r="AP52" i="4"/>
  <c r="AP54" i="4"/>
  <c r="AP55" i="4"/>
  <c r="AP56" i="4"/>
  <c r="AP58" i="4"/>
  <c r="AP59" i="4"/>
  <c r="AP60" i="4"/>
  <c r="AP62" i="4"/>
  <c r="AP63" i="4"/>
  <c r="AP64" i="4"/>
  <c r="AP66" i="4"/>
  <c r="AP16" i="4"/>
  <c r="AP17" i="4"/>
  <c r="AP20" i="4"/>
  <c r="AP21" i="4"/>
  <c r="AP24" i="4"/>
  <c r="AP25" i="4"/>
  <c r="AP6" i="4"/>
  <c r="AP12" i="4"/>
  <c r="AP28" i="4"/>
  <c r="AP39" i="4"/>
  <c r="AP40" i="4"/>
  <c r="AP46" i="4"/>
  <c r="AP50" i="4"/>
  <c r="AP53" i="4"/>
  <c r="AP61" i="4"/>
  <c r="AP65" i="4"/>
  <c r="AP26" i="4"/>
  <c r="AP19" i="4"/>
  <c r="AP23" i="4"/>
  <c r="AP27" i="4"/>
  <c r="AP36" i="4"/>
  <c r="AP29" i="4"/>
  <c r="AP32" i="4"/>
  <c r="AP33" i="4"/>
  <c r="AP57" i="4"/>
  <c r="AP67" i="4"/>
  <c r="AP5" i="4"/>
  <c r="AP90" i="4"/>
  <c r="AP91" i="4"/>
  <c r="AP15" i="4"/>
  <c r="AP22" i="4"/>
  <c r="AP69" i="4"/>
  <c r="AP70" i="4"/>
  <c r="AP73" i="4"/>
  <c r="AP68" i="4"/>
  <c r="AP71" i="4"/>
  <c r="AP72" i="4"/>
  <c r="DT5" i="4"/>
  <c r="DQ94" i="4"/>
  <c r="DQ95" i="4"/>
  <c r="DR95" i="4" l="1"/>
  <c r="DR94" i="4"/>
  <c r="DT98" i="4" l="1"/>
  <c r="DT99" i="4"/>
  <c r="DT100" i="4" l="1"/>
  <c r="DG92" i="4" l="1"/>
  <c r="DG91" i="4"/>
  <c r="DG90" i="4"/>
  <c r="DG88" i="4"/>
  <c r="DG77" i="4"/>
  <c r="DG76" i="4"/>
  <c r="DG75" i="4"/>
  <c r="DG74" i="4"/>
  <c r="DG73" i="4"/>
  <c r="DG72" i="4"/>
  <c r="DG71" i="4"/>
  <c r="DG70" i="4"/>
  <c r="DG69" i="4"/>
  <c r="DG68" i="4"/>
  <c r="DG67" i="4"/>
  <c r="DG66" i="4"/>
  <c r="DI91" i="4" l="1"/>
  <c r="DH91" i="4"/>
  <c r="DI90" i="4"/>
  <c r="DH90" i="4"/>
  <c r="DI88" i="4"/>
  <c r="DH88" i="4"/>
  <c r="DI92" i="4"/>
  <c r="DH92" i="4"/>
  <c r="DI66" i="4"/>
  <c r="DH66" i="4"/>
  <c r="DI69" i="4"/>
  <c r="DH69" i="4"/>
  <c r="DI73" i="4"/>
  <c r="DH73" i="4"/>
  <c r="DI77" i="4"/>
  <c r="DH77" i="4"/>
  <c r="DI70" i="4"/>
  <c r="DH70" i="4"/>
  <c r="DI74" i="4"/>
  <c r="DH74" i="4"/>
  <c r="DI68" i="4"/>
  <c r="DH68" i="4"/>
  <c r="DI72" i="4"/>
  <c r="DH72" i="4"/>
  <c r="DI76" i="4"/>
  <c r="DH76" i="4"/>
  <c r="DI67" i="4"/>
  <c r="DH67" i="4"/>
  <c r="DI71" i="4"/>
  <c r="DH71" i="4"/>
  <c r="DI75" i="4"/>
  <c r="DH75" i="4"/>
  <c r="Y8" i="4"/>
  <c r="Y38" i="4"/>
  <c r="Y12" i="4"/>
  <c r="Y13" i="4"/>
  <c r="Y14" i="4"/>
  <c r="Y117" i="4"/>
  <c r="Y15" i="4"/>
  <c r="Y16" i="4"/>
  <c r="I42" i="4" l="1"/>
  <c r="I43" i="4"/>
  <c r="I66" i="4"/>
  <c r="Y66" i="4"/>
  <c r="I68" i="4"/>
  <c r="Y68" i="4"/>
  <c r="I71" i="4"/>
  <c r="Y71" i="4"/>
  <c r="I72" i="4"/>
  <c r="Y72" i="4"/>
  <c r="I74" i="4"/>
  <c r="I75" i="4"/>
  <c r="I76" i="4"/>
  <c r="I77" i="4"/>
  <c r="I53" i="4" l="1"/>
  <c r="Y53" i="4"/>
  <c r="AC53" i="4"/>
  <c r="AB53" i="4" s="1"/>
  <c r="AD53" i="4" s="1"/>
  <c r="I39" i="4"/>
  <c r="Y39" i="4"/>
  <c r="AC39" i="4"/>
  <c r="I5" i="4"/>
  <c r="Y5" i="4"/>
  <c r="BD53" i="4" l="1"/>
  <c r="AS53" i="4"/>
  <c r="AW53" i="4"/>
  <c r="BA53" i="4"/>
  <c r="AR53" i="4"/>
  <c r="AV53" i="4"/>
  <c r="AZ53" i="4"/>
  <c r="AU53" i="4"/>
  <c r="AY53" i="4"/>
  <c r="AT53" i="4"/>
  <c r="AX53" i="4"/>
  <c r="AB39" i="4"/>
  <c r="BC53" i="4"/>
  <c r="AD5" i="4"/>
  <c r="AR5" i="4" l="1"/>
  <c r="BC5" i="4"/>
  <c r="AD39" i="4"/>
  <c r="BN53" i="4"/>
  <c r="BB53" i="4"/>
  <c r="BE53" i="4" s="1"/>
  <c r="BF53" i="4"/>
  <c r="BJ53" i="4"/>
  <c r="BH53" i="4"/>
  <c r="BK53" i="4"/>
  <c r="BG53" i="4"/>
  <c r="BM53" i="4"/>
  <c r="BO53" i="4"/>
  <c r="BL53" i="4"/>
  <c r="BI53" i="4"/>
  <c r="BP53" i="4"/>
  <c r="AS5" i="4"/>
  <c r="AW5" i="4"/>
  <c r="BA5" i="4"/>
  <c r="AT5" i="4"/>
  <c r="AV5" i="4"/>
  <c r="AZ5" i="4"/>
  <c r="AU5" i="4"/>
  <c r="AY5" i="4"/>
  <c r="AX5" i="4"/>
  <c r="BD5" i="4"/>
  <c r="DL53" i="4" l="1"/>
  <c r="DM53" i="4" s="1"/>
  <c r="DG53" i="4"/>
  <c r="BQ53" i="4"/>
  <c r="AR39" i="4"/>
  <c r="AV39" i="4"/>
  <c r="AZ39" i="4"/>
  <c r="AU39" i="4"/>
  <c r="AY39" i="4"/>
  <c r="AT39" i="4"/>
  <c r="AX39" i="4"/>
  <c r="AS39" i="4"/>
  <c r="AW39" i="4"/>
  <c r="BA39" i="4"/>
  <c r="BD39" i="4"/>
  <c r="BC39" i="4"/>
  <c r="BI5" i="4"/>
  <c r="BO5" i="4"/>
  <c r="BP5" i="4"/>
  <c r="BJ5" i="4"/>
  <c r="BH5" i="4"/>
  <c r="BN5" i="4"/>
  <c r="BF5" i="4"/>
  <c r="BB5" i="4"/>
  <c r="BE5" i="4" s="1"/>
  <c r="BG5" i="4"/>
  <c r="BM5" i="4"/>
  <c r="BK5" i="4"/>
  <c r="BL5" i="4"/>
  <c r="DO53" i="4" l="1"/>
  <c r="DN53" i="4"/>
  <c r="DI53" i="4"/>
  <c r="DH53" i="4"/>
  <c r="DL5" i="4"/>
  <c r="DM5" i="4" s="1"/>
  <c r="DG5" i="4"/>
  <c r="DH5" i="4" s="1"/>
  <c r="BJ39" i="4"/>
  <c r="BM39" i="4"/>
  <c r="BO39" i="4"/>
  <c r="BG39" i="4"/>
  <c r="BL39" i="4"/>
  <c r="BN39" i="4"/>
  <c r="BB39" i="4"/>
  <c r="BE39" i="4" s="1"/>
  <c r="BF39" i="4"/>
  <c r="BI39" i="4"/>
  <c r="BP39" i="4"/>
  <c r="BH39" i="4"/>
  <c r="BK39" i="4"/>
  <c r="BQ5" i="4"/>
  <c r="DO5" i="4" l="1"/>
  <c r="DN5" i="4"/>
  <c r="DL39" i="4"/>
  <c r="DM39" i="4" s="1"/>
  <c r="DG39" i="4"/>
  <c r="DI5" i="4"/>
  <c r="BQ39" i="4"/>
  <c r="DO39" i="4" l="1"/>
  <c r="DN39" i="4"/>
  <c r="DI39" i="4"/>
  <c r="DH39" i="4"/>
  <c r="AC92" i="4"/>
  <c r="AC91" i="4"/>
  <c r="AC90" i="4"/>
  <c r="AC88" i="4"/>
  <c r="AB91" i="4" l="1"/>
  <c r="AB92" i="4"/>
  <c r="AB90" i="4"/>
  <c r="AB88" i="4"/>
  <c r="AC73" i="4"/>
  <c r="AC70" i="4"/>
  <c r="AC69" i="4"/>
  <c r="AC67" i="4"/>
  <c r="AC65" i="4"/>
  <c r="AB65" i="4" s="1"/>
  <c r="AC64" i="4"/>
  <c r="AB64" i="4" s="1"/>
  <c r="AC63" i="4"/>
  <c r="AC62" i="4"/>
  <c r="AC61" i="4"/>
  <c r="AB61" i="4" s="1"/>
  <c r="AC60" i="4"/>
  <c r="AC59" i="4"/>
  <c r="AC58" i="4"/>
  <c r="AC57" i="4"/>
  <c r="AB57" i="4" s="1"/>
  <c r="AC56" i="4"/>
  <c r="AC55" i="4"/>
  <c r="AC54" i="4"/>
  <c r="AC52" i="4"/>
  <c r="AB52" i="4" s="1"/>
  <c r="AC51" i="4"/>
  <c r="AB51" i="4" s="1"/>
  <c r="AC50" i="4"/>
  <c r="AC49" i="4"/>
  <c r="AB49" i="4" s="1"/>
  <c r="AC48" i="4"/>
  <c r="AB48" i="4" s="1"/>
  <c r="AC47" i="4"/>
  <c r="AC46" i="4"/>
  <c r="AC45" i="4"/>
  <c r="AB45" i="4" s="1"/>
  <c r="AC44" i="4"/>
  <c r="AB44" i="4" s="1"/>
  <c r="AC41" i="4"/>
  <c r="AC40" i="4"/>
  <c r="AC32" i="4"/>
  <c r="AB32" i="4" s="1"/>
  <c r="AC33" i="4"/>
  <c r="AC34" i="4"/>
  <c r="AC18" i="4"/>
  <c r="AC120" i="4"/>
  <c r="AC121" i="4"/>
  <c r="AB121" i="4" s="1"/>
  <c r="AC19" i="4"/>
  <c r="AC20" i="4"/>
  <c r="AC21" i="4"/>
  <c r="AC122" i="4"/>
  <c r="AB122" i="4" s="1"/>
  <c r="AC123" i="4"/>
  <c r="AC17" i="4"/>
  <c r="AB17" i="4" s="1"/>
  <c r="AC22" i="4"/>
  <c r="AB22" i="4" s="1"/>
  <c r="AD90" i="4" l="1"/>
  <c r="AD91" i="4"/>
  <c r="AD92" i="4"/>
  <c r="BC92" i="4" s="1"/>
  <c r="AD88" i="4"/>
  <c r="BC88" i="4" s="1"/>
  <c r="AB73" i="4"/>
  <c r="AB70" i="4"/>
  <c r="AB69" i="4"/>
  <c r="AB67" i="4"/>
  <c r="AD45" i="4"/>
  <c r="BC45" i="4" s="1"/>
  <c r="AB50" i="4"/>
  <c r="AD51" i="4"/>
  <c r="BC51" i="4" s="1"/>
  <c r="AD44" i="4"/>
  <c r="BC44" i="4" s="1"/>
  <c r="AD49" i="4"/>
  <c r="BD49" i="4" s="1"/>
  <c r="AD52" i="4"/>
  <c r="BC52" i="4" s="1"/>
  <c r="AB55" i="4"/>
  <c r="AB46" i="4"/>
  <c r="AB47" i="4"/>
  <c r="AD48" i="4"/>
  <c r="BC48" i="4" s="1"/>
  <c r="AB54" i="4"/>
  <c r="AD57" i="4"/>
  <c r="BC57" i="4" s="1"/>
  <c r="AD61" i="4"/>
  <c r="BC61" i="4" s="1"/>
  <c r="AB63" i="4"/>
  <c r="AB60" i="4"/>
  <c r="AB59" i="4"/>
  <c r="AD65" i="4"/>
  <c r="BC65" i="4" s="1"/>
  <c r="AB58" i="4"/>
  <c r="AB62" i="4"/>
  <c r="AB56" i="4"/>
  <c r="AD64" i="4"/>
  <c r="BC64" i="4" s="1"/>
  <c r="AB40" i="4"/>
  <c r="AB41" i="4"/>
  <c r="AB34" i="4"/>
  <c r="AD32" i="4"/>
  <c r="AB33" i="4"/>
  <c r="AD122" i="4"/>
  <c r="BD122" i="4" s="1"/>
  <c r="AB19" i="4"/>
  <c r="AB18" i="4"/>
  <c r="AB20" i="4"/>
  <c r="AD121" i="4"/>
  <c r="AB123" i="4"/>
  <c r="AB21" i="4"/>
  <c r="AB120" i="4"/>
  <c r="AD17" i="4"/>
  <c r="BD17" i="4" s="1"/>
  <c r="AD22" i="4"/>
  <c r="BI65" i="4" l="1"/>
  <c r="BI45" i="4"/>
  <c r="BI64" i="4"/>
  <c r="BI48" i="4"/>
  <c r="BI52" i="4"/>
  <c r="BJ49" i="4"/>
  <c r="BJ122" i="4"/>
  <c r="BI51" i="4"/>
  <c r="BI92" i="4"/>
  <c r="BI61" i="4"/>
  <c r="BJ17" i="4"/>
  <c r="BI57" i="4"/>
  <c r="BI44" i="4"/>
  <c r="BI88" i="4"/>
  <c r="BD51" i="4"/>
  <c r="BD48" i="4"/>
  <c r="BD64" i="4"/>
  <c r="BD61" i="4"/>
  <c r="BD45" i="4"/>
  <c r="BD57" i="4"/>
  <c r="BC17" i="4"/>
  <c r="BD52" i="4"/>
  <c r="BD65" i="4"/>
  <c r="BC49" i="4"/>
  <c r="AX91" i="4"/>
  <c r="AT91" i="4"/>
  <c r="AY91" i="4"/>
  <c r="BN91" i="4" s="1"/>
  <c r="AZ91" i="4"/>
  <c r="AV91" i="4"/>
  <c r="AR91" i="4"/>
  <c r="BA91" i="4"/>
  <c r="AW91" i="4"/>
  <c r="AS91" i="4"/>
  <c r="AU91" i="4"/>
  <c r="BD91" i="4"/>
  <c r="BA90" i="4"/>
  <c r="AT90" i="4"/>
  <c r="AY90" i="4"/>
  <c r="AU90" i="4"/>
  <c r="AZ90" i="4"/>
  <c r="AV90" i="4"/>
  <c r="AR90" i="4"/>
  <c r="AW90" i="4"/>
  <c r="AS90" i="4"/>
  <c r="AX90" i="4"/>
  <c r="BM90" i="4" s="1"/>
  <c r="BD90" i="4"/>
  <c r="BC90" i="4"/>
  <c r="AY92" i="4"/>
  <c r="AU92" i="4"/>
  <c r="AZ92" i="4"/>
  <c r="AV92" i="4"/>
  <c r="AR92" i="4"/>
  <c r="BA92" i="4"/>
  <c r="AW92" i="4"/>
  <c r="AS92" i="4"/>
  <c r="AX92" i="4"/>
  <c r="BM92" i="4" s="1"/>
  <c r="AT92" i="4"/>
  <c r="BD92" i="4"/>
  <c r="BC91" i="4"/>
  <c r="AZ88" i="4"/>
  <c r="AS88" i="4"/>
  <c r="AV88" i="4"/>
  <c r="AW88" i="4"/>
  <c r="AX88" i="4"/>
  <c r="AT88" i="4"/>
  <c r="AY88" i="4"/>
  <c r="AU88" i="4"/>
  <c r="AR88" i="4"/>
  <c r="BA88" i="4"/>
  <c r="BP88" i="4" s="1"/>
  <c r="BD88" i="4"/>
  <c r="AD73" i="4"/>
  <c r="BC73" i="4" s="1"/>
  <c r="AD70" i="4"/>
  <c r="BC70" i="4" s="1"/>
  <c r="AD69" i="4"/>
  <c r="AD67" i="4"/>
  <c r="BC67" i="4" s="1"/>
  <c r="AD56" i="4"/>
  <c r="BC56" i="4" s="1"/>
  <c r="AD58" i="4"/>
  <c r="BC58" i="4" s="1"/>
  <c r="BA61" i="4"/>
  <c r="AW61" i="4"/>
  <c r="AS61" i="4"/>
  <c r="AX61" i="4"/>
  <c r="BM61" i="4" s="1"/>
  <c r="AT61" i="4"/>
  <c r="AY61" i="4"/>
  <c r="AU61" i="4"/>
  <c r="AZ61" i="4"/>
  <c r="AV61" i="4"/>
  <c r="AR61" i="4"/>
  <c r="AD54" i="4"/>
  <c r="BC54" i="4" s="1"/>
  <c r="AD47" i="4"/>
  <c r="BC47" i="4" s="1"/>
  <c r="AX52" i="4"/>
  <c r="AT52" i="4"/>
  <c r="AY52" i="4"/>
  <c r="BN52" i="4" s="1"/>
  <c r="AU52" i="4"/>
  <c r="AZ52" i="4"/>
  <c r="AV52" i="4"/>
  <c r="AR52" i="4"/>
  <c r="AW52" i="4"/>
  <c r="BA52" i="4"/>
  <c r="AS52" i="4"/>
  <c r="BD44" i="4"/>
  <c r="BA65" i="4"/>
  <c r="AW65" i="4"/>
  <c r="AS65" i="4"/>
  <c r="AX65" i="4"/>
  <c r="BM65" i="4" s="1"/>
  <c r="AT65" i="4"/>
  <c r="AY65" i="4"/>
  <c r="AU65" i="4"/>
  <c r="AZ65" i="4"/>
  <c r="AV65" i="4"/>
  <c r="AR65" i="4"/>
  <c r="BA57" i="4"/>
  <c r="AW57" i="4"/>
  <c r="AS57" i="4"/>
  <c r="AX57" i="4"/>
  <c r="BM57" i="4" s="1"/>
  <c r="AT57" i="4"/>
  <c r="AY57" i="4"/>
  <c r="AU57" i="4"/>
  <c r="AZ57" i="4"/>
  <c r="AV57" i="4"/>
  <c r="AR57" i="4"/>
  <c r="BA44" i="4"/>
  <c r="AW44" i="4"/>
  <c r="AS44" i="4"/>
  <c r="AX44" i="4"/>
  <c r="AT44" i="4"/>
  <c r="AY44" i="4"/>
  <c r="BN44" i="4" s="1"/>
  <c r="AU44" i="4"/>
  <c r="AV44" i="4"/>
  <c r="AZ44" i="4"/>
  <c r="AR44" i="4"/>
  <c r="AX45" i="4"/>
  <c r="BM45" i="4" s="1"/>
  <c r="AT45" i="4"/>
  <c r="AY45" i="4"/>
  <c r="AU45" i="4"/>
  <c r="AZ45" i="4"/>
  <c r="AV45" i="4"/>
  <c r="AR45" i="4"/>
  <c r="AS45" i="4"/>
  <c r="AW45" i="4"/>
  <c r="BA45" i="4"/>
  <c r="AD62" i="4"/>
  <c r="BC62" i="4" s="1"/>
  <c r="BA48" i="4"/>
  <c r="AW48" i="4"/>
  <c r="AS48" i="4"/>
  <c r="AX48" i="4"/>
  <c r="AT48" i="4"/>
  <c r="AY48" i="4"/>
  <c r="BN48" i="4" s="1"/>
  <c r="AU48" i="4"/>
  <c r="AR48" i="4"/>
  <c r="AV48" i="4"/>
  <c r="AZ48" i="4"/>
  <c r="AD46" i="4"/>
  <c r="BC46" i="4" s="1"/>
  <c r="AD55" i="4"/>
  <c r="BC55" i="4" s="1"/>
  <c r="AZ64" i="4"/>
  <c r="BO64" i="4" s="1"/>
  <c r="AV64" i="4"/>
  <c r="AR64" i="4"/>
  <c r="BA64" i="4"/>
  <c r="AW64" i="4"/>
  <c r="AS64" i="4"/>
  <c r="AX64" i="4"/>
  <c r="AT64" i="4"/>
  <c r="AY64" i="4"/>
  <c r="AU64" i="4"/>
  <c r="AD59" i="4"/>
  <c r="BC59" i="4" s="1"/>
  <c r="AD60" i="4"/>
  <c r="BC60" i="4" s="1"/>
  <c r="AD63" i="4"/>
  <c r="BC63" i="4" s="1"/>
  <c r="AX49" i="4"/>
  <c r="BM49" i="4" s="1"/>
  <c r="AT49" i="4"/>
  <c r="AY49" i="4"/>
  <c r="AU49" i="4"/>
  <c r="AZ49" i="4"/>
  <c r="AV49" i="4"/>
  <c r="AR49" i="4"/>
  <c r="AS49" i="4"/>
  <c r="AW49" i="4"/>
  <c r="BA49" i="4"/>
  <c r="BA51" i="4"/>
  <c r="AW51" i="4"/>
  <c r="AS51" i="4"/>
  <c r="AX51" i="4"/>
  <c r="AT51" i="4"/>
  <c r="AY51" i="4"/>
  <c r="AU51" i="4"/>
  <c r="AR51" i="4"/>
  <c r="AV51" i="4"/>
  <c r="AZ51" i="4"/>
  <c r="BO51" i="4" s="1"/>
  <c r="AD50" i="4"/>
  <c r="BC50" i="4" s="1"/>
  <c r="AD41" i="4"/>
  <c r="BC41" i="4" s="1"/>
  <c r="AD40" i="4"/>
  <c r="BC40" i="4" s="1"/>
  <c r="AD34" i="4"/>
  <c r="AD33" i="4"/>
  <c r="BC33" i="4" s="1"/>
  <c r="AU32" i="4"/>
  <c r="AY32" i="4"/>
  <c r="AT32" i="4"/>
  <c r="AX32" i="4"/>
  <c r="BM32" i="4" s="1"/>
  <c r="AS32" i="4"/>
  <c r="AW32" i="4"/>
  <c r="BA32" i="4"/>
  <c r="AR32" i="4"/>
  <c r="AV32" i="4"/>
  <c r="AZ32" i="4"/>
  <c r="BD32" i="4"/>
  <c r="BC32" i="4"/>
  <c r="AD21" i="4"/>
  <c r="AD123" i="4"/>
  <c r="AD18" i="4"/>
  <c r="BC18" i="4" s="1"/>
  <c r="AS122" i="4"/>
  <c r="AW122" i="4"/>
  <c r="BA122" i="4"/>
  <c r="AR122" i="4"/>
  <c r="AV122" i="4"/>
  <c r="AZ122" i="4"/>
  <c r="AU122" i="4"/>
  <c r="AY122" i="4"/>
  <c r="AT122" i="4"/>
  <c r="AX122" i="4"/>
  <c r="BM122" i="4" s="1"/>
  <c r="AD120" i="4"/>
  <c r="AS121" i="4"/>
  <c r="AW121" i="4"/>
  <c r="BA121" i="4"/>
  <c r="AR121" i="4"/>
  <c r="AV121" i="4"/>
  <c r="AZ121" i="4"/>
  <c r="AU121" i="4"/>
  <c r="AY121" i="4"/>
  <c r="BN121" i="4" s="1"/>
  <c r="AT121" i="4"/>
  <c r="AX121" i="4"/>
  <c r="BC122" i="4"/>
  <c r="AD20" i="4"/>
  <c r="BC20" i="4" s="1"/>
  <c r="AD19" i="4"/>
  <c r="BC19" i="4" s="1"/>
  <c r="BD121" i="4"/>
  <c r="BC121" i="4"/>
  <c r="AU17" i="4"/>
  <c r="AY17" i="4"/>
  <c r="AT17" i="4"/>
  <c r="AX17" i="4"/>
  <c r="BM17" i="4" s="1"/>
  <c r="AS17" i="4"/>
  <c r="AW17" i="4"/>
  <c r="BA17" i="4"/>
  <c r="AR17" i="4"/>
  <c r="AV17" i="4"/>
  <c r="AZ17" i="4"/>
  <c r="AU22" i="4"/>
  <c r="AY22" i="4"/>
  <c r="AT22" i="4"/>
  <c r="AX22" i="4"/>
  <c r="AS22" i="4"/>
  <c r="AW22" i="4"/>
  <c r="BA22" i="4"/>
  <c r="BP22" i="4" s="1"/>
  <c r="AR22" i="4"/>
  <c r="AV22" i="4"/>
  <c r="AZ22" i="4"/>
  <c r="BC22" i="4"/>
  <c r="BD22" i="4"/>
  <c r="BO22" i="4" l="1"/>
  <c r="BN22" i="4"/>
  <c r="BF17" i="4"/>
  <c r="BI121" i="4"/>
  <c r="BI122" i="4"/>
  <c r="BP121" i="4"/>
  <c r="BO122" i="4"/>
  <c r="BL122" i="4"/>
  <c r="BK32" i="4"/>
  <c r="BG32" i="4"/>
  <c r="BI41" i="4"/>
  <c r="BF51" i="4"/>
  <c r="BM51" i="4"/>
  <c r="BP49" i="4"/>
  <c r="BK49" i="4"/>
  <c r="BH49" i="4"/>
  <c r="BI59" i="4"/>
  <c r="BM64" i="4"/>
  <c r="BF64" i="4"/>
  <c r="BI46" i="4"/>
  <c r="BG48" i="4"/>
  <c r="BP45" i="4"/>
  <c r="BK45" i="4"/>
  <c r="BH45" i="4"/>
  <c r="BK44" i="4"/>
  <c r="BM44" i="4"/>
  <c r="BF57" i="4"/>
  <c r="BN57" i="4"/>
  <c r="BL57" i="4"/>
  <c r="BO65" i="4"/>
  <c r="BJ44" i="4"/>
  <c r="BF52" i="4"/>
  <c r="BI54" i="4"/>
  <c r="BG61" i="4"/>
  <c r="BI56" i="4"/>
  <c r="BI73" i="4"/>
  <c r="BL88" i="4"/>
  <c r="BI91" i="4"/>
  <c r="BG92" i="4"/>
  <c r="BK92" i="4"/>
  <c r="BI90" i="4"/>
  <c r="BL90" i="4"/>
  <c r="BJ91" i="4"/>
  <c r="BP91" i="4"/>
  <c r="BJ65" i="4"/>
  <c r="BJ45" i="4"/>
  <c r="BJ51" i="4"/>
  <c r="BL22" i="4"/>
  <c r="BG17" i="4"/>
  <c r="BO32" i="4"/>
  <c r="BN32" i="4"/>
  <c r="BI40" i="4"/>
  <c r="BH51" i="4"/>
  <c r="BP51" i="4"/>
  <c r="BF49" i="4"/>
  <c r="BN49" i="4"/>
  <c r="BI60" i="4"/>
  <c r="BH64" i="4"/>
  <c r="BP64" i="4"/>
  <c r="BI55" i="4"/>
  <c r="BF48" i="4"/>
  <c r="BM48" i="4"/>
  <c r="BI62" i="4"/>
  <c r="BF45" i="4"/>
  <c r="BN45" i="4"/>
  <c r="BO44" i="4"/>
  <c r="BH44" i="4"/>
  <c r="BP44" i="4"/>
  <c r="BG57" i="4"/>
  <c r="BK65" i="4"/>
  <c r="BH65" i="4"/>
  <c r="BP65" i="4"/>
  <c r="BL52" i="4"/>
  <c r="BI47" i="4"/>
  <c r="BO61" i="4"/>
  <c r="BI58" i="4"/>
  <c r="BI70" i="4"/>
  <c r="BF88" i="4"/>
  <c r="BM88" i="4"/>
  <c r="BO88" i="4"/>
  <c r="BF92" i="4"/>
  <c r="BN92" i="4"/>
  <c r="BG90" i="4"/>
  <c r="BO90" i="4"/>
  <c r="BP90" i="4"/>
  <c r="BL91" i="4"/>
  <c r="BO91" i="4"/>
  <c r="BI49" i="4"/>
  <c r="BJ57" i="4"/>
  <c r="BJ48" i="4"/>
  <c r="BK17" i="4"/>
  <c r="BF121" i="4"/>
  <c r="BL32" i="4"/>
  <c r="BK51" i="4"/>
  <c r="BJ22" i="4"/>
  <c r="BF22" i="4"/>
  <c r="BM22" i="4"/>
  <c r="BO17" i="4"/>
  <c r="BL17" i="4"/>
  <c r="BN17" i="4"/>
  <c r="BI19" i="4"/>
  <c r="BH121" i="4"/>
  <c r="BK121" i="4"/>
  <c r="BG121" i="4"/>
  <c r="BN122" i="4"/>
  <c r="BF122" i="4"/>
  <c r="BI18" i="4"/>
  <c r="BJ32" i="4"/>
  <c r="BP32" i="4"/>
  <c r="BH32" i="4"/>
  <c r="BN51" i="4"/>
  <c r="BL51" i="4"/>
  <c r="BG49" i="4"/>
  <c r="BI63" i="4"/>
  <c r="BN64" i="4"/>
  <c r="BL64" i="4"/>
  <c r="BK48" i="4"/>
  <c r="BH48" i="4"/>
  <c r="BP48" i="4"/>
  <c r="BG45" i="4"/>
  <c r="BF44" i="4"/>
  <c r="BL44" i="4"/>
  <c r="BO57" i="4"/>
  <c r="BF65" i="4"/>
  <c r="BN65" i="4"/>
  <c r="BL65" i="4"/>
  <c r="BP52" i="4"/>
  <c r="BO52" i="4"/>
  <c r="BM52" i="4"/>
  <c r="BK61" i="4"/>
  <c r="BH61" i="4"/>
  <c r="BP61" i="4"/>
  <c r="BH88" i="4"/>
  <c r="BG88" i="4"/>
  <c r="BH92" i="4"/>
  <c r="BP92" i="4"/>
  <c r="BK90" i="4"/>
  <c r="BH90" i="4"/>
  <c r="BG91" i="4"/>
  <c r="BK91" i="4"/>
  <c r="BM91" i="4"/>
  <c r="BI17" i="4"/>
  <c r="BJ64" i="4"/>
  <c r="BI22" i="4"/>
  <c r="BH22" i="4"/>
  <c r="BI20" i="4"/>
  <c r="BP122" i="4"/>
  <c r="BK22" i="4"/>
  <c r="BG22" i="4"/>
  <c r="BP17" i="4"/>
  <c r="BH17" i="4"/>
  <c r="BJ121" i="4"/>
  <c r="BM121" i="4"/>
  <c r="BO121" i="4"/>
  <c r="BL121" i="4"/>
  <c r="BH122" i="4"/>
  <c r="BK122" i="4"/>
  <c r="BG122" i="4"/>
  <c r="BI32" i="4"/>
  <c r="BF32" i="4"/>
  <c r="BI33" i="4"/>
  <c r="BI50" i="4"/>
  <c r="BG51" i="4"/>
  <c r="BL49" i="4"/>
  <c r="BO49" i="4"/>
  <c r="BG64" i="4"/>
  <c r="BK64" i="4"/>
  <c r="BO48" i="4"/>
  <c r="BL48" i="4"/>
  <c r="BL45" i="4"/>
  <c r="BO45" i="4"/>
  <c r="BG44" i="4"/>
  <c r="BK57" i="4"/>
  <c r="BH57" i="4"/>
  <c r="BP57" i="4"/>
  <c r="BG65" i="4"/>
  <c r="BG52" i="4"/>
  <c r="BK52" i="4"/>
  <c r="BH52" i="4"/>
  <c r="BF61" i="4"/>
  <c r="BN61" i="4"/>
  <c r="BL61" i="4"/>
  <c r="BI67" i="4"/>
  <c r="BJ88" i="4"/>
  <c r="BN88" i="4"/>
  <c r="BK88" i="4"/>
  <c r="BJ92" i="4"/>
  <c r="BL92" i="4"/>
  <c r="BO92" i="4"/>
  <c r="BJ90" i="4"/>
  <c r="BF90" i="4"/>
  <c r="BN90" i="4"/>
  <c r="BF91" i="4"/>
  <c r="BH91" i="4"/>
  <c r="BJ52" i="4"/>
  <c r="BJ61" i="4"/>
  <c r="DG32" i="4"/>
  <c r="DG52" i="4"/>
  <c r="DG17" i="4"/>
  <c r="DG51" i="4"/>
  <c r="DG64" i="4"/>
  <c r="DG45" i="4"/>
  <c r="DG44" i="4"/>
  <c r="DG121" i="4"/>
  <c r="DG49" i="4"/>
  <c r="DG48" i="4"/>
  <c r="DG22" i="4"/>
  <c r="DG122" i="4"/>
  <c r="DG57" i="4"/>
  <c r="DG65" i="4"/>
  <c r="DG61" i="4"/>
  <c r="BB92" i="4"/>
  <c r="BE92" i="4" s="1"/>
  <c r="BB90" i="4"/>
  <c r="BE90" i="4" s="1"/>
  <c r="BB91" i="4"/>
  <c r="BE91" i="4" s="1"/>
  <c r="BB88" i="4"/>
  <c r="BE88" i="4" s="1"/>
  <c r="AX73" i="4"/>
  <c r="BM73" i="4" s="1"/>
  <c r="AT73" i="4"/>
  <c r="AY73" i="4"/>
  <c r="AU73" i="4"/>
  <c r="AZ73" i="4"/>
  <c r="AV73" i="4"/>
  <c r="AR73" i="4"/>
  <c r="BA73" i="4"/>
  <c r="AW73" i="4"/>
  <c r="AS73" i="4"/>
  <c r="BD73" i="4"/>
  <c r="AX69" i="4"/>
  <c r="BM69" i="4" s="1"/>
  <c r="AT69" i="4"/>
  <c r="AY69" i="4"/>
  <c r="AU69" i="4"/>
  <c r="AZ69" i="4"/>
  <c r="AV69" i="4"/>
  <c r="AR69" i="4"/>
  <c r="BA69" i="4"/>
  <c r="AW69" i="4"/>
  <c r="AS69" i="4"/>
  <c r="BD69" i="4"/>
  <c r="AY70" i="4"/>
  <c r="AU70" i="4"/>
  <c r="AZ70" i="4"/>
  <c r="AV70" i="4"/>
  <c r="AR70" i="4"/>
  <c r="BA70" i="4"/>
  <c r="BP70" i="4" s="1"/>
  <c r="AW70" i="4"/>
  <c r="AS70" i="4"/>
  <c r="AX70" i="4"/>
  <c r="AT70" i="4"/>
  <c r="BD70" i="4"/>
  <c r="BC69" i="4"/>
  <c r="AX67" i="4"/>
  <c r="BM67" i="4" s="1"/>
  <c r="AT67" i="4"/>
  <c r="AY67" i="4"/>
  <c r="AU67" i="4"/>
  <c r="AZ67" i="4"/>
  <c r="AV67" i="4"/>
  <c r="AR67" i="4"/>
  <c r="BA67" i="4"/>
  <c r="AW67" i="4"/>
  <c r="AS67" i="4"/>
  <c r="BD67" i="4"/>
  <c r="BB49" i="4"/>
  <c r="BE49" i="4" s="1"/>
  <c r="AX63" i="4"/>
  <c r="AT63" i="4"/>
  <c r="AY63" i="4"/>
  <c r="AU63" i="4"/>
  <c r="AZ63" i="4"/>
  <c r="AV63" i="4"/>
  <c r="AR63" i="4"/>
  <c r="BA63" i="4"/>
  <c r="BP63" i="4" s="1"/>
  <c r="AW63" i="4"/>
  <c r="AS63" i="4"/>
  <c r="BD63" i="4"/>
  <c r="BB64" i="4"/>
  <c r="BE64" i="4" s="1"/>
  <c r="BB44" i="4"/>
  <c r="BE44" i="4" s="1"/>
  <c r="BB61" i="4"/>
  <c r="BE61" i="4" s="1"/>
  <c r="AZ56" i="4"/>
  <c r="AV56" i="4"/>
  <c r="AR56" i="4"/>
  <c r="AX56" i="4"/>
  <c r="AT56" i="4"/>
  <c r="AY56" i="4"/>
  <c r="BN56" i="4" s="1"/>
  <c r="AU56" i="4"/>
  <c r="AS56" i="4"/>
  <c r="AW56" i="4"/>
  <c r="BA56" i="4"/>
  <c r="BD56" i="4"/>
  <c r="AY59" i="4"/>
  <c r="AU59" i="4"/>
  <c r="AZ59" i="4"/>
  <c r="AV59" i="4"/>
  <c r="AR59" i="4"/>
  <c r="BA59" i="4"/>
  <c r="BP59" i="4" s="1"/>
  <c r="AW59" i="4"/>
  <c r="AS59" i="4"/>
  <c r="AX59" i="4"/>
  <c r="AT59" i="4"/>
  <c r="BD59" i="4"/>
  <c r="BA55" i="4"/>
  <c r="AW55" i="4"/>
  <c r="AS55" i="4"/>
  <c r="AX55" i="4"/>
  <c r="AT55" i="4"/>
  <c r="AY55" i="4"/>
  <c r="AU55" i="4"/>
  <c r="AZ55" i="4"/>
  <c r="BO55" i="4" s="1"/>
  <c r="AV55" i="4"/>
  <c r="AR55" i="4"/>
  <c r="BD55" i="4"/>
  <c r="AY46" i="4"/>
  <c r="AU46" i="4"/>
  <c r="AZ46" i="4"/>
  <c r="AV46" i="4"/>
  <c r="AR46" i="4"/>
  <c r="BA46" i="4"/>
  <c r="BP46" i="4" s="1"/>
  <c r="AW46" i="4"/>
  <c r="AS46" i="4"/>
  <c r="AT46" i="4"/>
  <c r="AX46" i="4"/>
  <c r="BD46" i="4"/>
  <c r="BB48" i="4"/>
  <c r="BE48" i="4" s="1"/>
  <c r="AX62" i="4"/>
  <c r="BM62" i="4" s="1"/>
  <c r="AT62" i="4"/>
  <c r="AY62" i="4"/>
  <c r="AU62" i="4"/>
  <c r="AZ62" i="4"/>
  <c r="AV62" i="4"/>
  <c r="AR62" i="4"/>
  <c r="BA62" i="4"/>
  <c r="AW62" i="4"/>
  <c r="AS62" i="4"/>
  <c r="BD62" i="4"/>
  <c r="BB52" i="4"/>
  <c r="BE52" i="4" s="1"/>
  <c r="AZ60" i="4"/>
  <c r="BO60" i="4" s="1"/>
  <c r="AV60" i="4"/>
  <c r="AR60" i="4"/>
  <c r="BA60" i="4"/>
  <c r="AW60" i="4"/>
  <c r="AS60" i="4"/>
  <c r="AX60" i="4"/>
  <c r="AT60" i="4"/>
  <c r="AY60" i="4"/>
  <c r="AU60" i="4"/>
  <c r="BD60" i="4"/>
  <c r="BB45" i="4"/>
  <c r="BE45" i="4" s="1"/>
  <c r="BB57" i="4"/>
  <c r="BE57" i="4" s="1"/>
  <c r="BB65" i="4"/>
  <c r="BE65" i="4" s="1"/>
  <c r="AZ47" i="4"/>
  <c r="BO47" i="4" s="1"/>
  <c r="AV47" i="4"/>
  <c r="AR47" i="4"/>
  <c r="BA47" i="4"/>
  <c r="AW47" i="4"/>
  <c r="AS47" i="4"/>
  <c r="AX47" i="4"/>
  <c r="AT47" i="4"/>
  <c r="AU47" i="4"/>
  <c r="AY47" i="4"/>
  <c r="BD47" i="4"/>
  <c r="AX58" i="4"/>
  <c r="BM58" i="4" s="1"/>
  <c r="AT58" i="4"/>
  <c r="AY58" i="4"/>
  <c r="AU58" i="4"/>
  <c r="AZ58" i="4"/>
  <c r="AV58" i="4"/>
  <c r="AR58" i="4"/>
  <c r="BA58" i="4"/>
  <c r="AW58" i="4"/>
  <c r="AS58" i="4"/>
  <c r="BD58" i="4"/>
  <c r="AY50" i="4"/>
  <c r="AU50" i="4"/>
  <c r="AZ50" i="4"/>
  <c r="AV50" i="4"/>
  <c r="AR50" i="4"/>
  <c r="BA50" i="4"/>
  <c r="BP50" i="4" s="1"/>
  <c r="AW50" i="4"/>
  <c r="AS50" i="4"/>
  <c r="AT50" i="4"/>
  <c r="AX50" i="4"/>
  <c r="BD50" i="4"/>
  <c r="BB51" i="4"/>
  <c r="BE51" i="4" s="1"/>
  <c r="AZ54" i="4"/>
  <c r="AV54" i="4"/>
  <c r="AR54" i="4"/>
  <c r="BA54" i="4"/>
  <c r="BP54" i="4" s="1"/>
  <c r="AW54" i="4"/>
  <c r="AS54" i="4"/>
  <c r="AX54" i="4"/>
  <c r="AT54" i="4"/>
  <c r="AY54" i="4"/>
  <c r="AU54" i="4"/>
  <c r="BD54" i="4"/>
  <c r="AY41" i="4"/>
  <c r="AU41" i="4"/>
  <c r="AZ41" i="4"/>
  <c r="AV41" i="4"/>
  <c r="AR41" i="4"/>
  <c r="BA41" i="4"/>
  <c r="BP41" i="4" s="1"/>
  <c r="AW41" i="4"/>
  <c r="AS41" i="4"/>
  <c r="AX41" i="4"/>
  <c r="AT41" i="4"/>
  <c r="BD41" i="4"/>
  <c r="AX40" i="4"/>
  <c r="BM40" i="4" s="1"/>
  <c r="AT40" i="4"/>
  <c r="AY40" i="4"/>
  <c r="AU40" i="4"/>
  <c r="AZ40" i="4"/>
  <c r="AV40" i="4"/>
  <c r="AR40" i="4"/>
  <c r="BA40" i="4"/>
  <c r="AW40" i="4"/>
  <c r="AS40" i="4"/>
  <c r="BD40" i="4"/>
  <c r="AR33" i="4"/>
  <c r="AV33" i="4"/>
  <c r="AZ33" i="4"/>
  <c r="AU33" i="4"/>
  <c r="AY33" i="4"/>
  <c r="AT33" i="4"/>
  <c r="AX33" i="4"/>
  <c r="BM33" i="4" s="1"/>
  <c r="AS33" i="4"/>
  <c r="AW33" i="4"/>
  <c r="BA33" i="4"/>
  <c r="BD33" i="4"/>
  <c r="BB32" i="4"/>
  <c r="BE32" i="4" s="1"/>
  <c r="AS34" i="4"/>
  <c r="AW34" i="4"/>
  <c r="BA34" i="4"/>
  <c r="BP34" i="4" s="1"/>
  <c r="AR34" i="4"/>
  <c r="AV34" i="4"/>
  <c r="AZ34" i="4"/>
  <c r="AU34" i="4"/>
  <c r="AY34" i="4"/>
  <c r="AT34" i="4"/>
  <c r="AX34" i="4"/>
  <c r="BD34" i="4"/>
  <c r="BC34" i="4"/>
  <c r="AT19" i="4"/>
  <c r="AX19" i="4"/>
  <c r="AS19" i="4"/>
  <c r="AW19" i="4"/>
  <c r="BA19" i="4"/>
  <c r="AR19" i="4"/>
  <c r="AV19" i="4"/>
  <c r="AZ19" i="4"/>
  <c r="BO19" i="4" s="1"/>
  <c r="AU19" i="4"/>
  <c r="AY19" i="4"/>
  <c r="BD19" i="4"/>
  <c r="AU20" i="4"/>
  <c r="AY20" i="4"/>
  <c r="AT20" i="4"/>
  <c r="AX20" i="4"/>
  <c r="BM20" i="4" s="1"/>
  <c r="AS20" i="4"/>
  <c r="AW20" i="4"/>
  <c r="BA20" i="4"/>
  <c r="AR20" i="4"/>
  <c r="AV20" i="4"/>
  <c r="AZ20" i="4"/>
  <c r="BD20" i="4"/>
  <c r="AR120" i="4"/>
  <c r="AV120" i="4"/>
  <c r="AZ120" i="4"/>
  <c r="BO120" i="4" s="1"/>
  <c r="AU120" i="4"/>
  <c r="AY120" i="4"/>
  <c r="AT120" i="4"/>
  <c r="AX120" i="4"/>
  <c r="AS120" i="4"/>
  <c r="AW120" i="4"/>
  <c r="BA120" i="4"/>
  <c r="BD120" i="4"/>
  <c r="BB122" i="4"/>
  <c r="BE122" i="4" s="1"/>
  <c r="AR21" i="4"/>
  <c r="AV21" i="4"/>
  <c r="AZ21" i="4"/>
  <c r="AU21" i="4"/>
  <c r="AY21" i="4"/>
  <c r="AT21" i="4"/>
  <c r="AX21" i="4"/>
  <c r="BM21" i="4" s="1"/>
  <c r="AS21" i="4"/>
  <c r="AW21" i="4"/>
  <c r="BA21" i="4"/>
  <c r="BD21" i="4"/>
  <c r="BB121" i="4"/>
  <c r="BE121" i="4" s="1"/>
  <c r="AT123" i="4"/>
  <c r="AX123" i="4"/>
  <c r="AS123" i="4"/>
  <c r="AW123" i="4"/>
  <c r="BA123" i="4"/>
  <c r="BP123" i="4" s="1"/>
  <c r="AR123" i="4"/>
  <c r="AV123" i="4"/>
  <c r="AZ123" i="4"/>
  <c r="AU123" i="4"/>
  <c r="AY123" i="4"/>
  <c r="BD123" i="4"/>
  <c r="BC120" i="4"/>
  <c r="BC21" i="4"/>
  <c r="AU18" i="4"/>
  <c r="AY18" i="4"/>
  <c r="AT18" i="4"/>
  <c r="AX18" i="4"/>
  <c r="AS18" i="4"/>
  <c r="AW18" i="4"/>
  <c r="BA18" i="4"/>
  <c r="BP18" i="4" s="1"/>
  <c r="AR18" i="4"/>
  <c r="AV18" i="4"/>
  <c r="AZ18" i="4"/>
  <c r="BD18" i="4"/>
  <c r="BC123" i="4"/>
  <c r="BB17" i="4"/>
  <c r="BE17" i="4" s="1"/>
  <c r="BB22" i="4"/>
  <c r="BE22" i="4" s="1"/>
  <c r="DI122" i="4" l="1"/>
  <c r="DH122" i="4"/>
  <c r="DI121" i="4"/>
  <c r="DH121" i="4"/>
  <c r="BQ48" i="4"/>
  <c r="BQ65" i="4"/>
  <c r="BQ44" i="4"/>
  <c r="BQ49" i="4"/>
  <c r="BQ51" i="4"/>
  <c r="BQ90" i="4"/>
  <c r="BQ57" i="4"/>
  <c r="BQ64" i="4"/>
  <c r="BQ122" i="4"/>
  <c r="BQ22" i="4"/>
  <c r="BQ61" i="4"/>
  <c r="DL91" i="4"/>
  <c r="DM91" i="4" s="1"/>
  <c r="DO91" i="4" s="1"/>
  <c r="BQ52" i="4"/>
  <c r="BQ92" i="4"/>
  <c r="BQ32" i="4"/>
  <c r="BQ45" i="4"/>
  <c r="BQ121" i="4"/>
  <c r="BQ17" i="4"/>
  <c r="BQ88" i="4"/>
  <c r="DL90" i="4"/>
  <c r="DM90" i="4" s="1"/>
  <c r="DO90" i="4" s="1"/>
  <c r="DL92" i="4"/>
  <c r="DM92" i="4" s="1"/>
  <c r="DO92" i="4" s="1"/>
  <c r="DI22" i="4"/>
  <c r="DH22" i="4"/>
  <c r="DI17" i="4"/>
  <c r="DH17" i="4"/>
  <c r="DL122" i="4"/>
  <c r="DM122" i="4" s="1"/>
  <c r="DL121" i="4"/>
  <c r="DM121" i="4" s="1"/>
  <c r="DI32" i="4"/>
  <c r="DH32" i="4"/>
  <c r="BQ91" i="4"/>
  <c r="DI65" i="4"/>
  <c r="DH65" i="4"/>
  <c r="DI48" i="4"/>
  <c r="DH48" i="4"/>
  <c r="DI45" i="4"/>
  <c r="DH45" i="4"/>
  <c r="DI52" i="4"/>
  <c r="DH52" i="4"/>
  <c r="DI61" i="4"/>
  <c r="DH61" i="4"/>
  <c r="DI44" i="4"/>
  <c r="DH44" i="4"/>
  <c r="DI51" i="4"/>
  <c r="DH51" i="4"/>
  <c r="DI57" i="4"/>
  <c r="DH57" i="4"/>
  <c r="DI49" i="4"/>
  <c r="DH49" i="4"/>
  <c r="DI64" i="4"/>
  <c r="DH64" i="4"/>
  <c r="BM18" i="4"/>
  <c r="BG18" i="4"/>
  <c r="BF123" i="4"/>
  <c r="BH21" i="4"/>
  <c r="BO18" i="4"/>
  <c r="BL18" i="4"/>
  <c r="BJ123" i="4"/>
  <c r="BK123" i="4"/>
  <c r="BJ18" i="4"/>
  <c r="BH18" i="4"/>
  <c r="BI120" i="4"/>
  <c r="BO123" i="4"/>
  <c r="BL123" i="4"/>
  <c r="BG21" i="4"/>
  <c r="BG120" i="4"/>
  <c r="BJ20" i="4"/>
  <c r="BP20" i="4"/>
  <c r="BH20" i="4"/>
  <c r="BN19" i="4"/>
  <c r="BF19" i="4"/>
  <c r="BM19" i="4"/>
  <c r="BM34" i="4"/>
  <c r="BO34" i="4"/>
  <c r="BL34" i="4"/>
  <c r="BP33" i="4"/>
  <c r="BH33" i="4"/>
  <c r="BK33" i="4"/>
  <c r="BL40" i="4"/>
  <c r="BO40" i="4"/>
  <c r="BG41" i="4"/>
  <c r="BK41" i="4"/>
  <c r="BJ54" i="4"/>
  <c r="BM54" i="4"/>
  <c r="BF54" i="4"/>
  <c r="BJ50" i="4"/>
  <c r="BL50" i="4"/>
  <c r="BO50" i="4"/>
  <c r="BG58" i="4"/>
  <c r="BK58" i="4"/>
  <c r="BH58" i="4"/>
  <c r="BL47" i="4"/>
  <c r="BJ60" i="4"/>
  <c r="BM60" i="4"/>
  <c r="BF60" i="4"/>
  <c r="BJ62" i="4"/>
  <c r="BF62" i="4"/>
  <c r="BN62" i="4"/>
  <c r="BJ46" i="4"/>
  <c r="BL46" i="4"/>
  <c r="BO46" i="4"/>
  <c r="BF55" i="4"/>
  <c r="BN55" i="4"/>
  <c r="BL55" i="4"/>
  <c r="BM59" i="4"/>
  <c r="BF59" i="4"/>
  <c r="BN59" i="4"/>
  <c r="BG56" i="4"/>
  <c r="BM56" i="4"/>
  <c r="BG63" i="4"/>
  <c r="BK63" i="4"/>
  <c r="BH63" i="4"/>
  <c r="BG67" i="4"/>
  <c r="BK67" i="4"/>
  <c r="BH67" i="4"/>
  <c r="BH70" i="4"/>
  <c r="BL69" i="4"/>
  <c r="BO69" i="4"/>
  <c r="BP73" i="4"/>
  <c r="DL65" i="4"/>
  <c r="DM65" i="4" s="1"/>
  <c r="DL17" i="4"/>
  <c r="DM17" i="4" s="1"/>
  <c r="BI123" i="4"/>
  <c r="BH123" i="4"/>
  <c r="BL21" i="4"/>
  <c r="BN21" i="4"/>
  <c r="BF21" i="4"/>
  <c r="BL120" i="4"/>
  <c r="BN120" i="4"/>
  <c r="BF120" i="4"/>
  <c r="BF20" i="4"/>
  <c r="BJ19" i="4"/>
  <c r="BK19" i="4"/>
  <c r="BG19" i="4"/>
  <c r="BJ34" i="4"/>
  <c r="BJ33" i="4"/>
  <c r="BO33" i="4"/>
  <c r="BG40" i="4"/>
  <c r="BK40" i="4"/>
  <c r="BH40" i="4"/>
  <c r="BM41" i="4"/>
  <c r="BF41" i="4"/>
  <c r="BN41" i="4"/>
  <c r="BH54" i="4"/>
  <c r="BG50" i="4"/>
  <c r="BK50" i="4"/>
  <c r="BJ58" i="4"/>
  <c r="BF58" i="4"/>
  <c r="BN58" i="4"/>
  <c r="BN47" i="4"/>
  <c r="BG47" i="4"/>
  <c r="BK47" i="4"/>
  <c r="BH60" i="4"/>
  <c r="BP60" i="4"/>
  <c r="BP62" i="4"/>
  <c r="BG46" i="4"/>
  <c r="BK46" i="4"/>
  <c r="BJ55" i="4"/>
  <c r="BG55" i="4"/>
  <c r="BH59" i="4"/>
  <c r="BL56" i="4"/>
  <c r="BH56" i="4"/>
  <c r="BO56" i="4"/>
  <c r="BJ63" i="4"/>
  <c r="BF63" i="4"/>
  <c r="BN63" i="4"/>
  <c r="BJ67" i="4"/>
  <c r="BF67" i="4"/>
  <c r="BN67" i="4"/>
  <c r="BJ70" i="4"/>
  <c r="BL70" i="4"/>
  <c r="BO70" i="4"/>
  <c r="BG69" i="4"/>
  <c r="BK69" i="4"/>
  <c r="BH69" i="4"/>
  <c r="BL73" i="4"/>
  <c r="BO73" i="4"/>
  <c r="DL32" i="4"/>
  <c r="DM32" i="4" s="1"/>
  <c r="DL44" i="4"/>
  <c r="DM44" i="4" s="1"/>
  <c r="DL22" i="4"/>
  <c r="DM22" i="4" s="1"/>
  <c r="DL45" i="4"/>
  <c r="DM45" i="4" s="1"/>
  <c r="DL49" i="4"/>
  <c r="DM49" i="4" s="1"/>
  <c r="BI21" i="4"/>
  <c r="BM123" i="4"/>
  <c r="BP21" i="4"/>
  <c r="BK21" i="4"/>
  <c r="BP120" i="4"/>
  <c r="BH120" i="4"/>
  <c r="BK120" i="4"/>
  <c r="BK20" i="4"/>
  <c r="BG20" i="4"/>
  <c r="BL19" i="4"/>
  <c r="BI34" i="4"/>
  <c r="BN34" i="4"/>
  <c r="BF34" i="4"/>
  <c r="BG33" i="4"/>
  <c r="BJ40" i="4"/>
  <c r="BF40" i="4"/>
  <c r="BN40" i="4"/>
  <c r="BH41" i="4"/>
  <c r="BN54" i="4"/>
  <c r="BL54" i="4"/>
  <c r="BO54" i="4"/>
  <c r="BH50" i="4"/>
  <c r="BF50" i="4"/>
  <c r="BN50" i="4"/>
  <c r="BP58" i="4"/>
  <c r="BJ47" i="4"/>
  <c r="BM47" i="4"/>
  <c r="BF47" i="4"/>
  <c r="BN60" i="4"/>
  <c r="BL60" i="4"/>
  <c r="BL62" i="4"/>
  <c r="BO62" i="4"/>
  <c r="BH46" i="4"/>
  <c r="BF46" i="4"/>
  <c r="BN46" i="4"/>
  <c r="BM55" i="4"/>
  <c r="BJ59" i="4"/>
  <c r="BL59" i="4"/>
  <c r="BO59" i="4"/>
  <c r="BP56" i="4"/>
  <c r="BK56" i="4"/>
  <c r="BP67" i="4"/>
  <c r="BI69" i="4"/>
  <c r="BG70" i="4"/>
  <c r="BK70" i="4"/>
  <c r="BJ69" i="4"/>
  <c r="BF69" i="4"/>
  <c r="BN69" i="4"/>
  <c r="BG73" i="4"/>
  <c r="BK73" i="4"/>
  <c r="BH73" i="4"/>
  <c r="DL61" i="4"/>
  <c r="DM61" i="4" s="1"/>
  <c r="DL88" i="4"/>
  <c r="DM88" i="4" s="1"/>
  <c r="DL48" i="4"/>
  <c r="DM48" i="4" s="1"/>
  <c r="DL52" i="4"/>
  <c r="DM52" i="4" s="1"/>
  <c r="DL64" i="4"/>
  <c r="DM64" i="4" s="1"/>
  <c r="BF18" i="4"/>
  <c r="BK18" i="4"/>
  <c r="BN123" i="4"/>
  <c r="BN18" i="4"/>
  <c r="BG123" i="4"/>
  <c r="BJ21" i="4"/>
  <c r="BO21" i="4"/>
  <c r="BJ120" i="4"/>
  <c r="BM120" i="4"/>
  <c r="BO20" i="4"/>
  <c r="BL20" i="4"/>
  <c r="BN20" i="4"/>
  <c r="BP19" i="4"/>
  <c r="BH19" i="4"/>
  <c r="BH34" i="4"/>
  <c r="BK34" i="4"/>
  <c r="BG34" i="4"/>
  <c r="BL33" i="4"/>
  <c r="BN33" i="4"/>
  <c r="BF33" i="4"/>
  <c r="BP40" i="4"/>
  <c r="BJ41" i="4"/>
  <c r="BL41" i="4"/>
  <c r="BO41" i="4"/>
  <c r="BG54" i="4"/>
  <c r="BK54" i="4"/>
  <c r="BM50" i="4"/>
  <c r="BL58" i="4"/>
  <c r="BO58" i="4"/>
  <c r="BH47" i="4"/>
  <c r="BP47" i="4"/>
  <c r="BG60" i="4"/>
  <c r="BK60" i="4"/>
  <c r="BG62" i="4"/>
  <c r="BK62" i="4"/>
  <c r="BH62" i="4"/>
  <c r="BM46" i="4"/>
  <c r="BK55" i="4"/>
  <c r="BH55" i="4"/>
  <c r="BP55" i="4"/>
  <c r="BG59" i="4"/>
  <c r="BK59" i="4"/>
  <c r="BJ56" i="4"/>
  <c r="BF56" i="4"/>
  <c r="BL63" i="4"/>
  <c r="BO63" i="4"/>
  <c r="BM63" i="4"/>
  <c r="BL67" i="4"/>
  <c r="BO67" i="4"/>
  <c r="BM70" i="4"/>
  <c r="BF70" i="4"/>
  <c r="BN70" i="4"/>
  <c r="BP69" i="4"/>
  <c r="BJ73" i="4"/>
  <c r="BF73" i="4"/>
  <c r="BN73" i="4"/>
  <c r="DL57" i="4"/>
  <c r="DM57" i="4" s="1"/>
  <c r="DL51" i="4"/>
  <c r="DM51" i="4" s="1"/>
  <c r="DG21" i="4"/>
  <c r="DG41" i="4"/>
  <c r="DG50" i="4"/>
  <c r="DG40" i="4"/>
  <c r="DG46" i="4"/>
  <c r="DG18" i="4"/>
  <c r="DG20" i="4"/>
  <c r="DG60" i="4"/>
  <c r="DG56" i="4"/>
  <c r="DG34" i="4"/>
  <c r="DG58" i="4"/>
  <c r="DG55" i="4"/>
  <c r="DG59" i="4"/>
  <c r="DG120" i="4"/>
  <c r="DG19" i="4"/>
  <c r="DG54" i="4"/>
  <c r="DG62" i="4"/>
  <c r="DG123" i="4"/>
  <c r="DG33" i="4"/>
  <c r="DG47" i="4"/>
  <c r="DG63" i="4"/>
  <c r="BB73" i="4"/>
  <c r="BE73" i="4" s="1"/>
  <c r="BB69" i="4"/>
  <c r="BE69" i="4" s="1"/>
  <c r="BB70" i="4"/>
  <c r="BE70" i="4" s="1"/>
  <c r="BB67" i="4"/>
  <c r="BE67" i="4" s="1"/>
  <c r="BB50" i="4"/>
  <c r="BE50" i="4" s="1"/>
  <c r="BB60" i="4"/>
  <c r="BE60" i="4" s="1"/>
  <c r="BB56" i="4"/>
  <c r="BE56" i="4" s="1"/>
  <c r="BB62" i="4"/>
  <c r="BE62" i="4" s="1"/>
  <c r="BB46" i="4"/>
  <c r="BE46" i="4" s="1"/>
  <c r="BB63" i="4"/>
  <c r="BE63" i="4" s="1"/>
  <c r="BB54" i="4"/>
  <c r="BE54" i="4" s="1"/>
  <c r="BB47" i="4"/>
  <c r="BE47" i="4" s="1"/>
  <c r="BB58" i="4"/>
  <c r="BE58" i="4" s="1"/>
  <c r="BB55" i="4"/>
  <c r="BE55" i="4" s="1"/>
  <c r="BB59" i="4"/>
  <c r="BE59" i="4" s="1"/>
  <c r="BB41" i="4"/>
  <c r="BE41" i="4" s="1"/>
  <c r="BB40" i="4"/>
  <c r="BE40" i="4" s="1"/>
  <c r="BB33" i="4"/>
  <c r="BE33" i="4" s="1"/>
  <c r="BB34" i="4"/>
  <c r="BE34" i="4" s="1"/>
  <c r="BB21" i="4"/>
  <c r="BE21" i="4" s="1"/>
  <c r="BB123" i="4"/>
  <c r="BE123" i="4" s="1"/>
  <c r="BB19" i="4"/>
  <c r="BE19" i="4" s="1"/>
  <c r="BB120" i="4"/>
  <c r="BE120" i="4" s="1"/>
  <c r="BB20" i="4"/>
  <c r="BE20" i="4" s="1"/>
  <c r="BB18" i="4"/>
  <c r="BE18" i="4" s="1"/>
  <c r="DH123" i="4" l="1"/>
  <c r="DI123" i="4"/>
  <c r="DI120" i="4"/>
  <c r="DH120" i="4"/>
  <c r="DN122" i="4"/>
  <c r="DN121" i="4"/>
  <c r="BQ60" i="4"/>
  <c r="BQ59" i="4"/>
  <c r="BQ58" i="4"/>
  <c r="DN92" i="4"/>
  <c r="DN91" i="4"/>
  <c r="DN90" i="4"/>
  <c r="BQ123" i="4"/>
  <c r="DI33" i="4"/>
  <c r="DH33" i="4"/>
  <c r="DI34" i="4"/>
  <c r="DH34" i="4"/>
  <c r="DI18" i="4"/>
  <c r="DH18" i="4"/>
  <c r="DL120" i="4"/>
  <c r="DM120" i="4" s="1"/>
  <c r="DI20" i="4"/>
  <c r="DH20" i="4"/>
  <c r="DI19" i="4"/>
  <c r="DH19" i="4"/>
  <c r="DI21" i="4"/>
  <c r="DH21" i="4"/>
  <c r="DL123" i="4"/>
  <c r="DM123" i="4" s="1"/>
  <c r="DO65" i="4"/>
  <c r="DN65" i="4"/>
  <c r="DO64" i="4"/>
  <c r="DN64" i="4"/>
  <c r="DO61" i="4"/>
  <c r="DN61" i="4"/>
  <c r="DO49" i="4"/>
  <c r="DN49" i="4"/>
  <c r="DO22" i="4"/>
  <c r="DN22" i="4"/>
  <c r="DO17" i="4"/>
  <c r="DN17" i="4"/>
  <c r="DO51" i="4"/>
  <c r="DN51" i="4"/>
  <c r="DO57" i="4"/>
  <c r="DN57" i="4"/>
  <c r="DO52" i="4"/>
  <c r="DN52" i="4"/>
  <c r="DO48" i="4"/>
  <c r="DN48" i="4"/>
  <c r="DO88" i="4"/>
  <c r="DN88" i="4"/>
  <c r="DO45" i="4"/>
  <c r="DN45" i="4"/>
  <c r="DO44" i="4"/>
  <c r="DN44" i="4"/>
  <c r="DO32" i="4"/>
  <c r="DN32" i="4"/>
  <c r="DI63" i="4"/>
  <c r="DH63" i="4"/>
  <c r="DI55" i="4"/>
  <c r="DH55" i="4"/>
  <c r="DI60" i="4"/>
  <c r="DH60" i="4"/>
  <c r="DI40" i="4"/>
  <c r="DH40" i="4"/>
  <c r="DI62" i="4"/>
  <c r="DH62" i="4"/>
  <c r="DI50" i="4"/>
  <c r="DH50" i="4"/>
  <c r="DI54" i="4"/>
  <c r="DH54" i="4"/>
  <c r="DI59" i="4"/>
  <c r="DH59" i="4"/>
  <c r="DI56" i="4"/>
  <c r="DH56" i="4"/>
  <c r="DI46" i="4"/>
  <c r="DH46" i="4"/>
  <c r="DI47" i="4"/>
  <c r="DH47" i="4"/>
  <c r="DI58" i="4"/>
  <c r="DH58" i="4"/>
  <c r="DI41" i="4"/>
  <c r="DH41" i="4"/>
  <c r="BQ54" i="4"/>
  <c r="BQ33" i="4"/>
  <c r="BQ19" i="4"/>
  <c r="BQ62" i="4"/>
  <c r="BQ56" i="4"/>
  <c r="BQ46" i="4"/>
  <c r="BQ20" i="4"/>
  <c r="BQ120" i="4"/>
  <c r="BQ21" i="4"/>
  <c r="BQ63" i="4"/>
  <c r="BQ47" i="4"/>
  <c r="BQ40" i="4"/>
  <c r="BQ69" i="4"/>
  <c r="BQ55" i="4"/>
  <c r="BQ50" i="4"/>
  <c r="BQ67" i="4"/>
  <c r="BQ41" i="4"/>
  <c r="BQ70" i="4"/>
  <c r="BQ18" i="4"/>
  <c r="BQ34" i="4"/>
  <c r="BQ73" i="4"/>
  <c r="DL70" i="4"/>
  <c r="DM70" i="4" s="1"/>
  <c r="DL33" i="4"/>
  <c r="DM33" i="4" s="1"/>
  <c r="DL34" i="4"/>
  <c r="DM34" i="4" s="1"/>
  <c r="DL63" i="4"/>
  <c r="DM63" i="4" s="1"/>
  <c r="DL41" i="4"/>
  <c r="DM41" i="4" s="1"/>
  <c r="DL54" i="4"/>
  <c r="DM54" i="4" s="1"/>
  <c r="DL73" i="4"/>
  <c r="DM73" i="4" s="1"/>
  <c r="DL56" i="4"/>
  <c r="DM56" i="4" s="1"/>
  <c r="DL18" i="4"/>
  <c r="DM18" i="4" s="1"/>
  <c r="DL69" i="4"/>
  <c r="DM69" i="4" s="1"/>
  <c r="DL47" i="4"/>
  <c r="DM47" i="4" s="1"/>
  <c r="DL58" i="4"/>
  <c r="DM58" i="4" s="1"/>
  <c r="DL20" i="4"/>
  <c r="DM20" i="4" s="1"/>
  <c r="DL55" i="4"/>
  <c r="DM55" i="4" s="1"/>
  <c r="DL60" i="4"/>
  <c r="DM60" i="4" s="1"/>
  <c r="DL46" i="4"/>
  <c r="DM46" i="4" s="1"/>
  <c r="DL50" i="4"/>
  <c r="DM50" i="4" s="1"/>
  <c r="DL59" i="4"/>
  <c r="DM59" i="4" s="1"/>
  <c r="DL62" i="4"/>
  <c r="DM62" i="4" s="1"/>
  <c r="DL40" i="4"/>
  <c r="DM40" i="4" s="1"/>
  <c r="DL67" i="4"/>
  <c r="DM67" i="4" s="1"/>
  <c r="DL21" i="4"/>
  <c r="DM21" i="4" s="1"/>
  <c r="DL19" i="4"/>
  <c r="DM19" i="4" s="1"/>
  <c r="Y92" i="4"/>
  <c r="Y91" i="4"/>
  <c r="Y90" i="4"/>
  <c r="Y88" i="4"/>
  <c r="Y73" i="4"/>
  <c r="Y70" i="4"/>
  <c r="Y69" i="4"/>
  <c r="Y67" i="4"/>
  <c r="Y65" i="4"/>
  <c r="Y64" i="4"/>
  <c r="Y63" i="4"/>
  <c r="Y62" i="4"/>
  <c r="Y61" i="4"/>
  <c r="Y60" i="4"/>
  <c r="Y59" i="4"/>
  <c r="Y58" i="4"/>
  <c r="Y57" i="4"/>
  <c r="Y56" i="4"/>
  <c r="Y55" i="4"/>
  <c r="Y54" i="4"/>
  <c r="Y52" i="4"/>
  <c r="Y51" i="4"/>
  <c r="Y50" i="4"/>
  <c r="Y49" i="4"/>
  <c r="Y48" i="4"/>
  <c r="Y47" i="4"/>
  <c r="Y46" i="4"/>
  <c r="Y45" i="4"/>
  <c r="Y44" i="4"/>
  <c r="Y41" i="4"/>
  <c r="Y40" i="4"/>
  <c r="Y22" i="4"/>
  <c r="Y17" i="4"/>
  <c r="Y18" i="4"/>
  <c r="Y120" i="4"/>
  <c r="Y121" i="4"/>
  <c r="Y19" i="4"/>
  <c r="Y20" i="4"/>
  <c r="Y21" i="4"/>
  <c r="Y122" i="4"/>
  <c r="Y123" i="4"/>
  <c r="Y32" i="4"/>
  <c r="Y33" i="4"/>
  <c r="Y34" i="4"/>
  <c r="I92" i="4"/>
  <c r="I91" i="4"/>
  <c r="I90" i="4"/>
  <c r="I88" i="4"/>
  <c r="I73" i="4"/>
  <c r="I70" i="4"/>
  <c r="I69" i="4"/>
  <c r="I67" i="4"/>
  <c r="I65" i="4"/>
  <c r="I64" i="4"/>
  <c r="I63" i="4"/>
  <c r="I62" i="4"/>
  <c r="I61" i="4"/>
  <c r="I60" i="4"/>
  <c r="I59" i="4"/>
  <c r="I58" i="4"/>
  <c r="I57" i="4"/>
  <c r="I56" i="4"/>
  <c r="I55" i="4"/>
  <c r="I54" i="4"/>
  <c r="I52" i="4"/>
  <c r="I51" i="4"/>
  <c r="I50" i="4"/>
  <c r="I49" i="4"/>
  <c r="I48" i="4"/>
  <c r="I47" i="4"/>
  <c r="I46" i="4"/>
  <c r="I45" i="4"/>
  <c r="I44" i="4"/>
  <c r="I41" i="4"/>
  <c r="I40" i="4"/>
  <c r="I6" i="4"/>
  <c r="I7" i="4"/>
  <c r="I22" i="4"/>
  <c r="I17" i="4"/>
  <c r="I18" i="4"/>
  <c r="I120" i="4"/>
  <c r="I121" i="4"/>
  <c r="I19" i="4"/>
  <c r="I20" i="4"/>
  <c r="I21" i="4"/>
  <c r="I122" i="4"/>
  <c r="I123" i="4"/>
  <c r="I32" i="4"/>
  <c r="I33" i="4"/>
  <c r="I34" i="4"/>
  <c r="Y23" i="4"/>
  <c r="Y7" i="4"/>
  <c r="Y31" i="4"/>
  <c r="Y30" i="4"/>
  <c r="Y29" i="4"/>
  <c r="Y28" i="4"/>
  <c r="Y27" i="4"/>
  <c r="Y26" i="4"/>
  <c r="Y25" i="4"/>
  <c r="Y24" i="4"/>
  <c r="Y36" i="4"/>
  <c r="Y10" i="4"/>
  <c r="Y9" i="4"/>
  <c r="Y6" i="4"/>
  <c r="DN123" i="4" l="1"/>
  <c r="DN120" i="4"/>
  <c r="DO67" i="4"/>
  <c r="DN67" i="4"/>
  <c r="DO21" i="4"/>
  <c r="DN21" i="4"/>
  <c r="DO40" i="4"/>
  <c r="DN40" i="4"/>
  <c r="DO62" i="4"/>
  <c r="DN62" i="4"/>
  <c r="DO59" i="4"/>
  <c r="DN59" i="4"/>
  <c r="DO55" i="4"/>
  <c r="DN55" i="4"/>
  <c r="DO47" i="4"/>
  <c r="DN47" i="4"/>
  <c r="DO19" i="4"/>
  <c r="DN19" i="4"/>
  <c r="DO41" i="4"/>
  <c r="DN41" i="4"/>
  <c r="DO33" i="4"/>
  <c r="DN33" i="4"/>
  <c r="DO50" i="4"/>
  <c r="DN50" i="4"/>
  <c r="DO46" i="4"/>
  <c r="DN46" i="4"/>
  <c r="DO60" i="4"/>
  <c r="DN60" i="4"/>
  <c r="DO20" i="4"/>
  <c r="DN20" i="4"/>
  <c r="DO58" i="4"/>
  <c r="DN58" i="4"/>
  <c r="DO69" i="4"/>
  <c r="DN69" i="4"/>
  <c r="DO18" i="4"/>
  <c r="DN18" i="4"/>
  <c r="DO56" i="4"/>
  <c r="DN56" i="4"/>
  <c r="DO73" i="4"/>
  <c r="DN73" i="4"/>
  <c r="DO54" i="4"/>
  <c r="DN54" i="4"/>
  <c r="DO63" i="4"/>
  <c r="DN63" i="4"/>
  <c r="DO34" i="4"/>
  <c r="DN34" i="4"/>
  <c r="DO70" i="4"/>
  <c r="DN70" i="4"/>
  <c r="P415" i="1"/>
  <c r="Q459" i="1" l="1"/>
  <c r="Q455" i="1"/>
  <c r="Q451" i="1"/>
  <c r="Q447" i="1"/>
  <c r="Q443" i="1"/>
  <c r="Q439" i="1"/>
  <c r="Q435" i="1"/>
  <c r="Q431" i="1"/>
  <c r="Q427" i="1"/>
  <c r="Q421" i="1"/>
  <c r="Q418" i="1"/>
  <c r="Q415" i="1"/>
  <c r="Q412" i="1"/>
  <c r="Q410" i="1"/>
  <c r="Q408" i="1"/>
  <c r="P405" i="1"/>
  <c r="Q405" i="1"/>
  <c r="Q400" i="1"/>
  <c r="P396" i="1"/>
  <c r="Q396" i="1"/>
  <c r="Q393" i="1"/>
  <c r="P389" i="1"/>
  <c r="Q389" i="1"/>
  <c r="Q385" i="1"/>
  <c r="P459" i="1"/>
  <c r="P455" i="1"/>
  <c r="P451" i="1"/>
  <c r="P447" i="1"/>
  <c r="P443" i="1"/>
  <c r="P439" i="1"/>
  <c r="P435" i="1"/>
  <c r="P431" i="1"/>
  <c r="P427" i="1"/>
  <c r="P421" i="1"/>
  <c r="P418" i="1"/>
  <c r="P412" i="1"/>
  <c r="P410" i="1"/>
  <c r="P408" i="1"/>
  <c r="P400" i="1"/>
  <c r="P393" i="1"/>
  <c r="P385" i="1"/>
  <c r="Q284" i="1" l="1"/>
  <c r="Q304" i="1"/>
  <c r="I31" i="4"/>
  <c r="I30" i="4"/>
  <c r="I29" i="4"/>
  <c r="I28" i="4"/>
  <c r="I27" i="4"/>
  <c r="I26" i="4"/>
  <c r="I25" i="4"/>
  <c r="I24" i="4"/>
  <c r="I23" i="4"/>
  <c r="I8" i="4"/>
  <c r="I38" i="4"/>
  <c r="I12" i="4"/>
  <c r="I13" i="4"/>
  <c r="I14" i="4"/>
  <c r="I117" i="4"/>
  <c r="I15" i="4"/>
  <c r="I16" i="4"/>
  <c r="Q379" i="1"/>
  <c r="Q373" i="1"/>
  <c r="P373" i="1"/>
  <c r="P361" i="1"/>
  <c r="Q361" i="1"/>
  <c r="Q355" i="1"/>
  <c r="P355" i="1"/>
  <c r="P338" i="1"/>
  <c r="Q338" i="1"/>
  <c r="P332" i="1"/>
  <c r="Q332" i="1"/>
  <c r="P326" i="1"/>
  <c r="Q326" i="1"/>
  <c r="P312" i="1"/>
  <c r="Q312" i="1"/>
  <c r="P292" i="1"/>
  <c r="Q292" i="1"/>
  <c r="P276" i="1"/>
  <c r="P284" i="1"/>
  <c r="Q276" i="1"/>
  <c r="P269" i="1"/>
  <c r="P258" i="1"/>
  <c r="Q258" i="1"/>
  <c r="Q269" i="1"/>
  <c r="P244" i="1"/>
  <c r="Q244" i="1"/>
  <c r="P238" i="1"/>
  <c r="Q238" i="1"/>
  <c r="P232" i="1"/>
  <c r="Q232" i="1"/>
  <c r="P226" i="1"/>
  <c r="Q226" i="1"/>
  <c r="Q219" i="1"/>
  <c r="Q207" i="1"/>
  <c r="Q194" i="1"/>
  <c r="P194" i="1"/>
  <c r="Q188" i="1"/>
  <c r="P188" i="1"/>
  <c r="P61" i="1"/>
  <c r="Q61" i="1"/>
  <c r="P58" i="1"/>
  <c r="Q58" i="1"/>
  <c r="P55" i="1"/>
  <c r="Q55" i="1"/>
  <c r="Q43" i="1"/>
  <c r="P43" i="1"/>
  <c r="Q15" i="1"/>
  <c r="Q4" i="1"/>
  <c r="Q12" i="1"/>
  <c r="Q8" i="1"/>
  <c r="Q18" i="1"/>
  <c r="Q22" i="1"/>
  <c r="P22" i="1"/>
  <c r="Q31" i="1"/>
  <c r="Q34" i="1"/>
  <c r="P34" i="1"/>
  <c r="P28" i="1"/>
  <c r="Q28" i="1"/>
  <c r="P122" i="1"/>
  <c r="Q122" i="1"/>
  <c r="P120" i="1"/>
  <c r="Q120" i="1"/>
  <c r="Q117" i="1"/>
  <c r="P114" i="1"/>
  <c r="Q114" i="1"/>
  <c r="P111" i="1"/>
  <c r="Q111" i="1"/>
  <c r="P104" i="1"/>
  <c r="Q104" i="1"/>
  <c r="Q79" i="1"/>
  <c r="Q83" i="1"/>
  <c r="Q75" i="1"/>
  <c r="P72" i="1"/>
  <c r="Q72" i="1"/>
  <c r="Q66" i="1"/>
  <c r="P66" i="1"/>
  <c r="P69" i="1"/>
  <c r="Q69" i="1"/>
  <c r="AC31" i="4"/>
  <c r="AC30" i="4"/>
  <c r="AC29" i="4"/>
  <c r="AC28" i="4"/>
  <c r="AC27" i="4"/>
  <c r="AC26" i="4"/>
  <c r="AC25" i="4"/>
  <c r="AC24" i="4"/>
  <c r="AC23" i="4"/>
  <c r="AB23" i="4" s="1"/>
  <c r="AD23" i="4" l="1"/>
  <c r="AX23" i="4" s="1"/>
  <c r="AB26" i="4"/>
  <c r="AB30" i="4"/>
  <c r="AB25" i="4"/>
  <c r="AB29" i="4"/>
  <c r="AB27" i="4"/>
  <c r="AB31" i="4"/>
  <c r="AB24" i="4"/>
  <c r="AB28" i="4"/>
  <c r="BM23" i="4" l="1"/>
  <c r="AY23" i="4"/>
  <c r="AR23" i="4"/>
  <c r="BC23" i="4"/>
  <c r="AZ23" i="4"/>
  <c r="BO23" i="4" s="1"/>
  <c r="AV23" i="4"/>
  <c r="BA23" i="4"/>
  <c r="AU23" i="4"/>
  <c r="AT23" i="4"/>
  <c r="AS23" i="4"/>
  <c r="BD23" i="4"/>
  <c r="AW23" i="4"/>
  <c r="AD31" i="4"/>
  <c r="AD25" i="4"/>
  <c r="AD26" i="4"/>
  <c r="BC26" i="4" s="1"/>
  <c r="AD24" i="4"/>
  <c r="BA24" i="4" s="1"/>
  <c r="AD28" i="4"/>
  <c r="BD28" i="4" s="1"/>
  <c r="AD27" i="4"/>
  <c r="AD29" i="4"/>
  <c r="AD30" i="4"/>
  <c r="BI23" i="4" l="1"/>
  <c r="BP24" i="4"/>
  <c r="BJ28" i="4"/>
  <c r="BH23" i="4"/>
  <c r="BG23" i="4"/>
  <c r="BK23" i="4"/>
  <c r="BN23" i="4"/>
  <c r="BL23" i="4"/>
  <c r="BI26" i="4"/>
  <c r="BJ23" i="4"/>
  <c r="BP23" i="4"/>
  <c r="BF23" i="4"/>
  <c r="DG23" i="4"/>
  <c r="DH23" i="4" s="1"/>
  <c r="BB23" i="4"/>
  <c r="BE23" i="4" s="1"/>
  <c r="BD24" i="4"/>
  <c r="AY24" i="4"/>
  <c r="AR24" i="4"/>
  <c r="AU28" i="4"/>
  <c r="BC24" i="4"/>
  <c r="AV24" i="4"/>
  <c r="AS24" i="4"/>
  <c r="AZ24" i="4"/>
  <c r="AT28" i="4"/>
  <c r="AY28" i="4"/>
  <c r="AX28" i="4"/>
  <c r="BM28" i="4" s="1"/>
  <c r="BC28" i="4"/>
  <c r="AV28" i="4"/>
  <c r="AT29" i="4"/>
  <c r="BD29" i="4"/>
  <c r="AU29" i="4"/>
  <c r="AS29" i="4"/>
  <c r="AY29" i="4"/>
  <c r="BA29" i="4"/>
  <c r="AZ29" i="4"/>
  <c r="AW29" i="4"/>
  <c r="BC29" i="4"/>
  <c r="AV29" i="4"/>
  <c r="AX29" i="4"/>
  <c r="BM29" i="4" s="1"/>
  <c r="AR29" i="4"/>
  <c r="AX26" i="4"/>
  <c r="BA26" i="4"/>
  <c r="BP26" i="4" s="1"/>
  <c r="AY26" i="4"/>
  <c r="AR26" i="4"/>
  <c r="AT26" i="4"/>
  <c r="AW26" i="4"/>
  <c r="AZ26" i="4"/>
  <c r="BD26" i="4"/>
  <c r="AS26" i="4"/>
  <c r="AU26" i="4"/>
  <c r="AV26" i="4"/>
  <c r="BA31" i="4"/>
  <c r="AV31" i="4"/>
  <c r="AU31" i="4"/>
  <c r="AW31" i="4"/>
  <c r="BC31" i="4"/>
  <c r="AR31" i="4"/>
  <c r="AS31" i="4"/>
  <c r="AY31" i="4"/>
  <c r="AX31" i="4"/>
  <c r="BD31" i="4"/>
  <c r="AT31" i="4"/>
  <c r="AZ31" i="4"/>
  <c r="BO31" i="4" s="1"/>
  <c r="AS28" i="4"/>
  <c r="BC30" i="4"/>
  <c r="AS30" i="4"/>
  <c r="AU30" i="4"/>
  <c r="AR30" i="4"/>
  <c r="BD30" i="4"/>
  <c r="BA30" i="4"/>
  <c r="BP30" i="4" s="1"/>
  <c r="AY30" i="4"/>
  <c r="AZ30" i="4"/>
  <c r="AX30" i="4"/>
  <c r="AW30" i="4"/>
  <c r="AV30" i="4"/>
  <c r="AT30" i="4"/>
  <c r="BD27" i="4"/>
  <c r="AS27" i="4"/>
  <c r="AW27" i="4"/>
  <c r="AX27" i="4"/>
  <c r="AZ27" i="4"/>
  <c r="BO27" i="4" s="1"/>
  <c r="BC27" i="4"/>
  <c r="AT27" i="4"/>
  <c r="AV27" i="4"/>
  <c r="AY27" i="4"/>
  <c r="AU27" i="4"/>
  <c r="BA27" i="4"/>
  <c r="AR27" i="4"/>
  <c r="AX24" i="4"/>
  <c r="BM24" i="4" s="1"/>
  <c r="AU24" i="4"/>
  <c r="AT24" i="4"/>
  <c r="AW24" i="4"/>
  <c r="AT25" i="4"/>
  <c r="AV25" i="4"/>
  <c r="AY25" i="4"/>
  <c r="AS25" i="4"/>
  <c r="BA25" i="4"/>
  <c r="AR25" i="4"/>
  <c r="AU25" i="4"/>
  <c r="BD25" i="4"/>
  <c r="AX25" i="4"/>
  <c r="BM25" i="4" s="1"/>
  <c r="AZ25" i="4"/>
  <c r="BC25" i="4"/>
  <c r="AW25" i="4"/>
  <c r="AZ28" i="4"/>
  <c r="BA28" i="4"/>
  <c r="AR28" i="4"/>
  <c r="AW28" i="4"/>
  <c r="BQ23" i="4" l="1"/>
  <c r="BN25" i="4"/>
  <c r="BP27" i="4"/>
  <c r="BH27" i="4"/>
  <c r="BL27" i="4"/>
  <c r="BK30" i="4"/>
  <c r="BN30" i="4"/>
  <c r="BN31" i="4"/>
  <c r="BL31" i="4"/>
  <c r="BK26" i="4"/>
  <c r="BO26" i="4"/>
  <c r="BN26" i="4"/>
  <c r="BO29" i="4"/>
  <c r="BI28" i="4"/>
  <c r="BO24" i="4"/>
  <c r="BI25" i="4"/>
  <c r="BG25" i="4"/>
  <c r="BK27" i="4"/>
  <c r="BH30" i="4"/>
  <c r="BO30" i="4"/>
  <c r="BG28" i="4"/>
  <c r="BM31" i="4"/>
  <c r="BI31" i="4"/>
  <c r="BP31" i="4"/>
  <c r="BJ26" i="4"/>
  <c r="BF26" i="4"/>
  <c r="BF29" i="4"/>
  <c r="BL29" i="4"/>
  <c r="BG29" i="4"/>
  <c r="BK28" i="4"/>
  <c r="BH28" i="4"/>
  <c r="BI24" i="4"/>
  <c r="BJ24" i="4"/>
  <c r="BH24" i="4"/>
  <c r="BJ25" i="4"/>
  <c r="BF27" i="4"/>
  <c r="BM27" i="4"/>
  <c r="BF30" i="4"/>
  <c r="BO28" i="4"/>
  <c r="BP25" i="4"/>
  <c r="BH25" i="4"/>
  <c r="BN27" i="4"/>
  <c r="BJ27" i="4"/>
  <c r="BM30" i="4"/>
  <c r="BJ30" i="4"/>
  <c r="BI30" i="4"/>
  <c r="BJ31" i="4"/>
  <c r="BF31" i="4"/>
  <c r="BK31" i="4"/>
  <c r="BG26" i="4"/>
  <c r="BH26" i="4"/>
  <c r="BM26" i="4"/>
  <c r="BI29" i="4"/>
  <c r="BN29" i="4"/>
  <c r="BH29" i="4"/>
  <c r="BN28" i="4"/>
  <c r="BK24" i="4"/>
  <c r="BN24" i="4"/>
  <c r="DL23" i="4"/>
  <c r="DM23" i="4" s="1"/>
  <c r="BF28" i="4"/>
  <c r="BL28" i="4"/>
  <c r="BL25" i="4"/>
  <c r="BL24" i="4"/>
  <c r="BP28" i="4"/>
  <c r="BO25" i="4"/>
  <c r="BF25" i="4"/>
  <c r="BK25" i="4"/>
  <c r="BI27" i="4"/>
  <c r="BG27" i="4"/>
  <c r="BL30" i="4"/>
  <c r="BG30" i="4"/>
  <c r="BH31" i="4"/>
  <c r="BG31" i="4"/>
  <c r="BL26" i="4"/>
  <c r="BK29" i="4"/>
  <c r="BP29" i="4"/>
  <c r="BJ29" i="4"/>
  <c r="BG24" i="4"/>
  <c r="BF24" i="4"/>
  <c r="DG26" i="4"/>
  <c r="DH26" i="4" s="1"/>
  <c r="DG31" i="4"/>
  <c r="DH31" i="4" s="1"/>
  <c r="DG25" i="4"/>
  <c r="DH25" i="4" s="1"/>
  <c r="DG28" i="4"/>
  <c r="DH28" i="4" s="1"/>
  <c r="DG27" i="4"/>
  <c r="DH27" i="4" s="1"/>
  <c r="DG30" i="4"/>
  <c r="DH30" i="4" s="1"/>
  <c r="DG29" i="4"/>
  <c r="DH29" i="4" s="1"/>
  <c r="DG24" i="4"/>
  <c r="DH24" i="4" s="1"/>
  <c r="BB24" i="4"/>
  <c r="BE24" i="4" s="1"/>
  <c r="BB27" i="4"/>
  <c r="BE27" i="4" s="1"/>
  <c r="BB28" i="4"/>
  <c r="BE28" i="4" s="1"/>
  <c r="BB31" i="4"/>
  <c r="BE31" i="4" s="1"/>
  <c r="BB30" i="4"/>
  <c r="BE30" i="4" s="1"/>
  <c r="BB25" i="4"/>
  <c r="BE25" i="4" s="1"/>
  <c r="BB26" i="4"/>
  <c r="BE26" i="4" s="1"/>
  <c r="BB29" i="4"/>
  <c r="BE29" i="4" s="1"/>
  <c r="BQ27" i="4" l="1"/>
  <c r="BQ28" i="4"/>
  <c r="BQ31" i="4"/>
  <c r="DO23" i="4"/>
  <c r="DN23" i="4"/>
  <c r="BQ26" i="4"/>
  <c r="BQ25" i="4"/>
  <c r="BQ24" i="4"/>
  <c r="BQ29" i="4"/>
  <c r="BQ30" i="4"/>
  <c r="DL25" i="4"/>
  <c r="DM25" i="4" s="1"/>
  <c r="DL27" i="4"/>
  <c r="DM27" i="4" s="1"/>
  <c r="DL30" i="4"/>
  <c r="DM30" i="4" s="1"/>
  <c r="DL29" i="4"/>
  <c r="DM29" i="4" s="1"/>
  <c r="DL31" i="4"/>
  <c r="DM31" i="4" s="1"/>
  <c r="DL26" i="4"/>
  <c r="DM26" i="4" s="1"/>
  <c r="DL24" i="4"/>
  <c r="DM24" i="4" s="1"/>
  <c r="DL28" i="4"/>
  <c r="DM28" i="4" s="1"/>
  <c r="AC8" i="4"/>
  <c r="AC38" i="4"/>
  <c r="AC12" i="4"/>
  <c r="AC13" i="4"/>
  <c r="AC14" i="4"/>
  <c r="AC117" i="4"/>
  <c r="AC15" i="4"/>
  <c r="AC16" i="4"/>
  <c r="DO30" i="4" l="1"/>
  <c r="DN30" i="4"/>
  <c r="DO24" i="4"/>
  <c r="DN24" i="4"/>
  <c r="DO31" i="4"/>
  <c r="DN31" i="4"/>
  <c r="DO29" i="4"/>
  <c r="DN29" i="4"/>
  <c r="DO27" i="4"/>
  <c r="DN27" i="4"/>
  <c r="DO25" i="4"/>
  <c r="DN25" i="4"/>
  <c r="DO28" i="4"/>
  <c r="DN28" i="4"/>
  <c r="DO26" i="4"/>
  <c r="DN26" i="4"/>
  <c r="AB16" i="4"/>
  <c r="AB117" i="4"/>
  <c r="AB12" i="4"/>
  <c r="AB13" i="4"/>
  <c r="AB15" i="4"/>
  <c r="AB8" i="4"/>
  <c r="AB14" i="4"/>
  <c r="AB38" i="4"/>
  <c r="AD117" i="4" l="1"/>
  <c r="BC117" i="4" s="1"/>
  <c r="AD16" i="4"/>
  <c r="BD16" i="4" s="1"/>
  <c r="AD38" i="4"/>
  <c r="AD12" i="4"/>
  <c r="AD15" i="4"/>
  <c r="BC15" i="4" s="1"/>
  <c r="AD14" i="4"/>
  <c r="AD13" i="4"/>
  <c r="AD8" i="4"/>
  <c r="BC8" i="4" s="1"/>
  <c r="BI117" i="4" l="1"/>
  <c r="BI8" i="4"/>
  <c r="BJ16" i="4"/>
  <c r="BI15" i="4"/>
  <c r="AV16" i="4"/>
  <c r="AR16" i="4"/>
  <c r="BA16" i="4"/>
  <c r="AT16" i="4"/>
  <c r="AX16" i="4"/>
  <c r="BC16" i="4"/>
  <c r="AS16" i="4"/>
  <c r="AW16" i="4"/>
  <c r="AZ16" i="4"/>
  <c r="AU16" i="4"/>
  <c r="AY16" i="4"/>
  <c r="BN16" i="4" s="1"/>
  <c r="AX117" i="4"/>
  <c r="BM117" i="4" s="1"/>
  <c r="AT117" i="4"/>
  <c r="AW117" i="4"/>
  <c r="AY117" i="4"/>
  <c r="AU117" i="4"/>
  <c r="AR117" i="4"/>
  <c r="BA117" i="4"/>
  <c r="AZ117" i="4"/>
  <c r="AV117" i="4"/>
  <c r="BD117" i="4"/>
  <c r="AS117" i="4"/>
  <c r="AV14" i="4"/>
  <c r="AU14" i="4"/>
  <c r="AT14" i="4"/>
  <c r="AS14" i="4"/>
  <c r="AR14" i="4"/>
  <c r="AY14" i="4"/>
  <c r="BA14" i="4"/>
  <c r="BP14" i="4" s="1"/>
  <c r="AZ14" i="4"/>
  <c r="AW14" i="4"/>
  <c r="AX14" i="4"/>
  <c r="BD14" i="4"/>
  <c r="AX12" i="4"/>
  <c r="AW12" i="4"/>
  <c r="AV12" i="4"/>
  <c r="AU12" i="4"/>
  <c r="AT12" i="4"/>
  <c r="AS12" i="4"/>
  <c r="AR12" i="4"/>
  <c r="BA12" i="4"/>
  <c r="AY12" i="4"/>
  <c r="BN12" i="4" s="1"/>
  <c r="AZ12" i="4"/>
  <c r="BD12" i="4"/>
  <c r="AT15" i="4"/>
  <c r="AS15" i="4"/>
  <c r="AR15" i="4"/>
  <c r="BA15" i="4"/>
  <c r="AZ15" i="4"/>
  <c r="BO15" i="4" s="1"/>
  <c r="AY15" i="4"/>
  <c r="AX15" i="4"/>
  <c r="AU15" i="4"/>
  <c r="AW15" i="4"/>
  <c r="AV15" i="4"/>
  <c r="BD15" i="4"/>
  <c r="BC14" i="4"/>
  <c r="BC12" i="4"/>
  <c r="BA13" i="4"/>
  <c r="AT13" i="4"/>
  <c r="AZ13" i="4"/>
  <c r="AY13" i="4"/>
  <c r="AX13" i="4"/>
  <c r="BM13" i="4" s="1"/>
  <c r="AW13" i="4"/>
  <c r="AV13" i="4"/>
  <c r="AU13" i="4"/>
  <c r="AR13" i="4"/>
  <c r="AS13" i="4"/>
  <c r="BD13" i="4"/>
  <c r="AZ38" i="4"/>
  <c r="BO38" i="4" s="1"/>
  <c r="AY38" i="4"/>
  <c r="AX38" i="4"/>
  <c r="AW38" i="4"/>
  <c r="AV38" i="4"/>
  <c r="AU38" i="4"/>
  <c r="AT38" i="4"/>
  <c r="AS38" i="4"/>
  <c r="AR38" i="4"/>
  <c r="BA38" i="4"/>
  <c r="BD38" i="4"/>
  <c r="AU8" i="4"/>
  <c r="AT8" i="4"/>
  <c r="AS8" i="4"/>
  <c r="AR8" i="4"/>
  <c r="AX8" i="4"/>
  <c r="BA8" i="4"/>
  <c r="AZ8" i="4"/>
  <c r="BO8" i="4" s="1"/>
  <c r="AY8" i="4"/>
  <c r="AV8" i="4"/>
  <c r="AW8" i="4"/>
  <c r="BD8" i="4"/>
  <c r="BC13" i="4"/>
  <c r="BC38" i="4"/>
  <c r="BL8" i="4" l="1"/>
  <c r="BF38" i="4"/>
  <c r="BN13" i="4"/>
  <c r="BI12" i="4"/>
  <c r="BL15" i="4"/>
  <c r="BH15" i="4"/>
  <c r="BP12" i="4"/>
  <c r="BJ14" i="4"/>
  <c r="BH14" i="4"/>
  <c r="BJ117" i="4"/>
  <c r="BF117" i="4"/>
  <c r="BH117" i="4"/>
  <c r="BO16" i="4"/>
  <c r="BM16" i="4"/>
  <c r="BK16" i="4"/>
  <c r="BP8" i="4"/>
  <c r="BG8" i="4"/>
  <c r="BF13" i="4"/>
  <c r="BP13" i="4"/>
  <c r="BK15" i="4"/>
  <c r="BN15" i="4"/>
  <c r="BG15" i="4"/>
  <c r="BH12" i="4"/>
  <c r="BM12" i="4"/>
  <c r="BO14" i="4"/>
  <c r="BG14" i="4"/>
  <c r="BG117" i="4"/>
  <c r="BP117" i="4"/>
  <c r="BL117" i="4"/>
  <c r="BI16" i="4"/>
  <c r="BF16" i="4"/>
  <c r="BI13" i="4"/>
  <c r="BF8" i="4"/>
  <c r="BJ38" i="4"/>
  <c r="BH38" i="4"/>
  <c r="BM38" i="4"/>
  <c r="BG13" i="4"/>
  <c r="BL13" i="4"/>
  <c r="BH13" i="4"/>
  <c r="BJ15" i="4"/>
  <c r="BM15" i="4"/>
  <c r="BF15" i="4"/>
  <c r="BO12" i="4"/>
  <c r="BG12" i="4"/>
  <c r="BL12" i="4"/>
  <c r="BL14" i="4"/>
  <c r="BF14" i="4"/>
  <c r="BK14" i="4"/>
  <c r="BO117" i="4"/>
  <c r="BN117" i="4"/>
  <c r="BG16" i="4"/>
  <c r="BP16" i="4"/>
  <c r="BH8" i="4"/>
  <c r="BK38" i="4"/>
  <c r="BJ8" i="4"/>
  <c r="BP38" i="4"/>
  <c r="BN38" i="4"/>
  <c r="BN8" i="4"/>
  <c r="BI38" i="4"/>
  <c r="BK8" i="4"/>
  <c r="BM8" i="4"/>
  <c r="BG38" i="4"/>
  <c r="BL38" i="4"/>
  <c r="BJ13" i="4"/>
  <c r="BK13" i="4"/>
  <c r="BO13" i="4"/>
  <c r="BI14" i="4"/>
  <c r="BP15" i="4"/>
  <c r="BJ12" i="4"/>
  <c r="BF12" i="4"/>
  <c r="BK12" i="4"/>
  <c r="BM14" i="4"/>
  <c r="BN14" i="4"/>
  <c r="BK117" i="4"/>
  <c r="BL16" i="4"/>
  <c r="BH16" i="4"/>
  <c r="DG38" i="4"/>
  <c r="DH38" i="4" s="1"/>
  <c r="DG8" i="4"/>
  <c r="DH8" i="4" s="1"/>
  <c r="DG15" i="4"/>
  <c r="DH15" i="4" s="1"/>
  <c r="DG14" i="4"/>
  <c r="DH14" i="4" s="1"/>
  <c r="DG16" i="4"/>
  <c r="DH16" i="4" s="1"/>
  <c r="DG12" i="4"/>
  <c r="DH12" i="4" s="1"/>
  <c r="DG117" i="4"/>
  <c r="DG13" i="4"/>
  <c r="DH13" i="4" s="1"/>
  <c r="BB16" i="4"/>
  <c r="BE16" i="4" s="1"/>
  <c r="BB117" i="4"/>
  <c r="BE117" i="4" s="1"/>
  <c r="BB38" i="4"/>
  <c r="BE38" i="4" s="1"/>
  <c r="BB13" i="4"/>
  <c r="BE13" i="4" s="1"/>
  <c r="BB8" i="4"/>
  <c r="BE8" i="4" s="1"/>
  <c r="BB12" i="4"/>
  <c r="BE12" i="4" s="1"/>
  <c r="BB15" i="4"/>
  <c r="BE15" i="4" s="1"/>
  <c r="BB14" i="4"/>
  <c r="BE14" i="4" s="1"/>
  <c r="DI117" i="4" l="1"/>
  <c r="DH117" i="4"/>
  <c r="BQ8" i="4"/>
  <c r="BQ13" i="4"/>
  <c r="BQ15" i="4"/>
  <c r="BQ14" i="4"/>
  <c r="BQ38" i="4"/>
  <c r="BQ12" i="4"/>
  <c r="BQ16" i="4"/>
  <c r="DL8" i="4"/>
  <c r="DM8" i="4" s="1"/>
  <c r="DL13" i="4"/>
  <c r="DM13" i="4" s="1"/>
  <c r="DL117" i="4"/>
  <c r="DL12" i="4"/>
  <c r="DM12" i="4" s="1"/>
  <c r="BQ117" i="4"/>
  <c r="DL14" i="4"/>
  <c r="DM14" i="4" s="1"/>
  <c r="DL38" i="4"/>
  <c r="DM38" i="4" s="1"/>
  <c r="DL15" i="4"/>
  <c r="DM15" i="4" s="1"/>
  <c r="DL16" i="4"/>
  <c r="DM16" i="4" s="1"/>
  <c r="DO16" i="4" l="1"/>
  <c r="DN16" i="4"/>
  <c r="DO12" i="4"/>
  <c r="DN12" i="4"/>
  <c r="DO15" i="4"/>
  <c r="DN15" i="4"/>
  <c r="DO38" i="4"/>
  <c r="DN38" i="4"/>
  <c r="DO14" i="4"/>
  <c r="DN14" i="4"/>
  <c r="DO13" i="4"/>
  <c r="DN13" i="4"/>
  <c r="DO8" i="4"/>
  <c r="DN8" i="4"/>
  <c r="DM117" i="4"/>
  <c r="AC36" i="4"/>
  <c r="DN117" i="4" l="1"/>
  <c r="AB36" i="4"/>
  <c r="AD36" i="4" l="1"/>
  <c r="BC36" i="4" s="1"/>
  <c r="BI36" i="4" l="1"/>
  <c r="N94" i="4"/>
  <c r="N95" i="4"/>
  <c r="AU36" i="4"/>
  <c r="AY36" i="4"/>
  <c r="AT36" i="4"/>
  <c r="AX36" i="4"/>
  <c r="BM36" i="4" s="1"/>
  <c r="AS36" i="4"/>
  <c r="AW36" i="4"/>
  <c r="BA36" i="4"/>
  <c r="AR36" i="4"/>
  <c r="AV36" i="4"/>
  <c r="AZ36" i="4"/>
  <c r="BD36" i="4"/>
  <c r="BP36" i="4" l="1"/>
  <c r="BK36" i="4"/>
  <c r="BJ36" i="4"/>
  <c r="BH36" i="4"/>
  <c r="BF36" i="4"/>
  <c r="BG36" i="4"/>
  <c r="BO36" i="4"/>
  <c r="BL36" i="4"/>
  <c r="BN36" i="4"/>
  <c r="BB36" i="4"/>
  <c r="BE36" i="4" s="1"/>
  <c r="BQ36" i="4" l="1"/>
  <c r="DL36" i="4"/>
  <c r="DM36" i="4" s="1"/>
  <c r="DO36" i="4" l="1"/>
  <c r="DN36" i="4"/>
  <c r="AC6" i="4" l="1"/>
  <c r="AC7" i="4"/>
  <c r="AB7" i="4" s="1"/>
  <c r="AD7" i="4" s="1"/>
  <c r="AC9" i="4"/>
  <c r="AC10" i="4"/>
  <c r="AB9" i="4" l="1"/>
  <c r="AB10" i="4"/>
  <c r="AB6" i="4"/>
  <c r="AD9" i="4" l="1"/>
  <c r="AD6" i="4"/>
  <c r="AD10" i="4"/>
  <c r="B36" i="5" l="1"/>
  <c r="B21" i="5"/>
  <c r="B20" i="5"/>
  <c r="B19" i="5"/>
  <c r="D18" i="5"/>
  <c r="D17" i="5"/>
  <c r="B16" i="5"/>
  <c r="B15" i="5"/>
  <c r="B14" i="5"/>
  <c r="D13" i="5"/>
  <c r="B12" i="5"/>
  <c r="B34" i="5" s="1"/>
  <c r="B11" i="5"/>
  <c r="B10" i="5"/>
  <c r="B9" i="5"/>
  <c r="D9" i="5" s="1"/>
  <c r="B8" i="5"/>
  <c r="B7" i="5"/>
  <c r="B6" i="5"/>
  <c r="B5" i="5"/>
  <c r="CL110" i="4" l="1"/>
  <c r="BS118" i="4"/>
  <c r="BT118" i="4" s="1"/>
  <c r="CI118" i="4"/>
  <c r="CJ118" i="4"/>
  <c r="CI110" i="4"/>
  <c r="BS110" i="4"/>
  <c r="BV110" i="4" s="1"/>
  <c r="CI85" i="4"/>
  <c r="CI105" i="4"/>
  <c r="CI111" i="4"/>
  <c r="CO111" i="4" s="1"/>
  <c r="BS80" i="4"/>
  <c r="BY80" i="4" s="1"/>
  <c r="BS116" i="4"/>
  <c r="BS114" i="4"/>
  <c r="BS104" i="4"/>
  <c r="CI114" i="4"/>
  <c r="CL114" i="4" s="1"/>
  <c r="CI80" i="4"/>
  <c r="CI112" i="4"/>
  <c r="CO112" i="4" s="1"/>
  <c r="BS105" i="4"/>
  <c r="BT110" i="4"/>
  <c r="BS85" i="4"/>
  <c r="CI104" i="4"/>
  <c r="CI116" i="4"/>
  <c r="CI83" i="4"/>
  <c r="CJ110" i="4"/>
  <c r="BS86" i="4"/>
  <c r="BS109" i="4"/>
  <c r="BS84" i="4"/>
  <c r="CI81" i="4"/>
  <c r="BS111" i="4"/>
  <c r="BS112" i="4"/>
  <c r="BY112" i="4" s="1"/>
  <c r="CI115" i="4"/>
  <c r="BS79" i="4"/>
  <c r="CI84" i="4"/>
  <c r="CL84" i="4" s="1"/>
  <c r="CI79" i="4"/>
  <c r="CJ79" i="4" s="1"/>
  <c r="BS113" i="4"/>
  <c r="BS115" i="4"/>
  <c r="BS83" i="4"/>
  <c r="CI86" i="4"/>
  <c r="CI109" i="4"/>
  <c r="CI113" i="4"/>
  <c r="BS81" i="4"/>
  <c r="CJ83" i="4"/>
  <c r="CJ116" i="4"/>
  <c r="CJ115" i="4"/>
  <c r="BT86" i="4"/>
  <c r="BT112" i="4"/>
  <c r="BT85" i="4"/>
  <c r="CJ113" i="4"/>
  <c r="CJ109" i="4"/>
  <c r="CJ81" i="4"/>
  <c r="BT84" i="4"/>
  <c r="BT81" i="4"/>
  <c r="BT80" i="4"/>
  <c r="CJ86" i="4"/>
  <c r="CJ84" i="4"/>
  <c r="CJ105" i="4"/>
  <c r="CJ111" i="4"/>
  <c r="CJ112" i="4"/>
  <c r="BT115" i="4"/>
  <c r="BT116" i="4"/>
  <c r="CJ80" i="4"/>
  <c r="CJ104" i="4"/>
  <c r="CJ114" i="4"/>
  <c r="CJ85" i="4"/>
  <c r="BT104" i="4"/>
  <c r="CI106" i="4"/>
  <c r="CL106" i="4" s="1"/>
  <c r="CI108" i="4"/>
  <c r="BS106" i="4"/>
  <c r="BV106" i="4" s="1"/>
  <c r="BS107" i="4"/>
  <c r="CI107" i="4"/>
  <c r="BS108" i="4"/>
  <c r="CJ108" i="4"/>
  <c r="BT106" i="4"/>
  <c r="CI37" i="4"/>
  <c r="BS37" i="4"/>
  <c r="CI53" i="4"/>
  <c r="BS5" i="4"/>
  <c r="CI5" i="4"/>
  <c r="CJ53" i="4"/>
  <c r="BT5" i="4"/>
  <c r="CI39" i="4"/>
  <c r="CI32" i="4"/>
  <c r="CO32" i="4" s="1"/>
  <c r="CI90" i="4"/>
  <c r="CI92" i="4"/>
  <c r="CI17" i="4"/>
  <c r="CO17" i="4" s="1"/>
  <c r="CI48" i="4"/>
  <c r="CL48" i="4" s="1"/>
  <c r="CI22" i="4"/>
  <c r="CL22" i="4" s="1"/>
  <c r="CI65" i="4"/>
  <c r="CI52" i="4"/>
  <c r="CO52" i="4" s="1"/>
  <c r="CI49" i="4"/>
  <c r="CO49" i="4" s="1"/>
  <c r="CI91" i="4"/>
  <c r="CI51" i="4"/>
  <c r="CI64" i="4"/>
  <c r="CL64" i="4" s="1"/>
  <c r="CI61" i="4"/>
  <c r="CI57" i="4"/>
  <c r="CI88" i="4"/>
  <c r="CI121" i="4"/>
  <c r="CL121" i="4" s="1"/>
  <c r="CI122" i="4"/>
  <c r="CI45" i="4"/>
  <c r="CL45" i="4" s="1"/>
  <c r="CI44" i="4"/>
  <c r="CI19" i="4"/>
  <c r="CI59" i="4"/>
  <c r="CI120" i="4"/>
  <c r="CL120" i="4" s="1"/>
  <c r="CI40" i="4"/>
  <c r="CI50" i="4"/>
  <c r="CL50" i="4" s="1"/>
  <c r="CI18" i="4"/>
  <c r="CL18" i="4" s="1"/>
  <c r="CI56" i="4"/>
  <c r="CL56" i="4" s="1"/>
  <c r="CI70" i="4"/>
  <c r="CJ45" i="4"/>
  <c r="CI60" i="4"/>
  <c r="CI20" i="4"/>
  <c r="CL20" i="4" s="1"/>
  <c r="CJ49" i="4"/>
  <c r="CI55" i="4"/>
  <c r="CL55" i="4" s="1"/>
  <c r="CI67" i="4"/>
  <c r="CO67" i="4" s="1"/>
  <c r="CI69" i="4"/>
  <c r="CO69" i="4" s="1"/>
  <c r="CJ121" i="4"/>
  <c r="CJ22" i="4"/>
  <c r="CJ91" i="4"/>
  <c r="CI21" i="4"/>
  <c r="CL21" i="4" s="1"/>
  <c r="CI34" i="4"/>
  <c r="CJ88" i="4"/>
  <c r="CI62" i="4"/>
  <c r="CI58" i="4"/>
  <c r="CI46" i="4"/>
  <c r="CJ48" i="4"/>
  <c r="CI123" i="4"/>
  <c r="CI41" i="4"/>
  <c r="CL41" i="4" s="1"/>
  <c r="CI47" i="4"/>
  <c r="CO47" i="4" s="1"/>
  <c r="CI33" i="4"/>
  <c r="CL33" i="4" s="1"/>
  <c r="CI73" i="4"/>
  <c r="CJ90" i="4"/>
  <c r="CJ122" i="4"/>
  <c r="CI54" i="4"/>
  <c r="CI63" i="4"/>
  <c r="CL63" i="4" s="1"/>
  <c r="CJ32" i="4"/>
  <c r="CJ92" i="4"/>
  <c r="CJ34" i="4"/>
  <c r="CJ55" i="4"/>
  <c r="CJ60" i="4"/>
  <c r="CJ63" i="4"/>
  <c r="CJ21" i="4"/>
  <c r="CJ58" i="4"/>
  <c r="CJ67" i="4"/>
  <c r="CJ59" i="4"/>
  <c r="CJ50" i="4"/>
  <c r="CJ62" i="4"/>
  <c r="CJ120" i="4"/>
  <c r="CJ73" i="4"/>
  <c r="CJ56" i="4"/>
  <c r="CJ40" i="4"/>
  <c r="CJ123" i="4"/>
  <c r="CJ20" i="4"/>
  <c r="CJ54" i="4"/>
  <c r="CI23" i="4"/>
  <c r="CI29" i="4"/>
  <c r="CI31" i="4"/>
  <c r="CI24" i="4"/>
  <c r="CL24" i="4" s="1"/>
  <c r="CI27" i="4"/>
  <c r="CO27" i="4" s="1"/>
  <c r="CI25" i="4"/>
  <c r="CL25" i="4" s="1"/>
  <c r="CI30" i="4"/>
  <c r="CL30" i="4" s="1"/>
  <c r="CI28" i="4"/>
  <c r="CI26" i="4"/>
  <c r="CJ31" i="4"/>
  <c r="CJ29" i="4"/>
  <c r="CJ25" i="4"/>
  <c r="CI14" i="4"/>
  <c r="CO14" i="4" s="1"/>
  <c r="CI38" i="4"/>
  <c r="CI16" i="4"/>
  <c r="CN16" i="4" s="1"/>
  <c r="CI12" i="4"/>
  <c r="CL12" i="4" s="1"/>
  <c r="CI117" i="4"/>
  <c r="CO117" i="4" s="1"/>
  <c r="CI13" i="4"/>
  <c r="CO13" i="4" s="1"/>
  <c r="CI8" i="4"/>
  <c r="CL8" i="4" s="1"/>
  <c r="CI15" i="4"/>
  <c r="CJ117" i="4"/>
  <c r="CJ16" i="4"/>
  <c r="CJ12" i="4"/>
  <c r="CJ14" i="4"/>
  <c r="CJ13" i="4"/>
  <c r="CI36" i="4"/>
  <c r="CJ36" i="4"/>
  <c r="CT118" i="4"/>
  <c r="CT110" i="4"/>
  <c r="CD110" i="4"/>
  <c r="CT80" i="4"/>
  <c r="CT86" i="4"/>
  <c r="CD104" i="4"/>
  <c r="CD115" i="4"/>
  <c r="CD80" i="4"/>
  <c r="CT83" i="4"/>
  <c r="CT85" i="4"/>
  <c r="CT113" i="4"/>
  <c r="CD86" i="4"/>
  <c r="CD116" i="4"/>
  <c r="CD111" i="4"/>
  <c r="CD112" i="4"/>
  <c r="CT116" i="4"/>
  <c r="CT79" i="4"/>
  <c r="CT109" i="4"/>
  <c r="CD105" i="4"/>
  <c r="CD79" i="4"/>
  <c r="CD85" i="4"/>
  <c r="CT114" i="4"/>
  <c r="CT112" i="4"/>
  <c r="CD84" i="4"/>
  <c r="CD109" i="4"/>
  <c r="CD83" i="4"/>
  <c r="CT104" i="4"/>
  <c r="CD113" i="4"/>
  <c r="CT111" i="4"/>
  <c r="CT84" i="4"/>
  <c r="CT106" i="4"/>
  <c r="CD108" i="4"/>
  <c r="CT108" i="4"/>
  <c r="CT107" i="4"/>
  <c r="CD107" i="4"/>
  <c r="CD37" i="4"/>
  <c r="CT37" i="4"/>
  <c r="CT53" i="4"/>
  <c r="CD5" i="4"/>
  <c r="CT39" i="4"/>
  <c r="CT65" i="4"/>
  <c r="CT122" i="4"/>
  <c r="CT64" i="4"/>
  <c r="CT90" i="4"/>
  <c r="CT32" i="4"/>
  <c r="CT44" i="4"/>
  <c r="CT51" i="4"/>
  <c r="CT57" i="4"/>
  <c r="CT48" i="4"/>
  <c r="CT45" i="4"/>
  <c r="CT88" i="4"/>
  <c r="CT121" i="4"/>
  <c r="CT17" i="4"/>
  <c r="CT91" i="4"/>
  <c r="CT52" i="4"/>
  <c r="CT92" i="4"/>
  <c r="CT61" i="4"/>
  <c r="CT55" i="4"/>
  <c r="CT47" i="4"/>
  <c r="CT70" i="4"/>
  <c r="CT59" i="4"/>
  <c r="CT20" i="4"/>
  <c r="CT19" i="4"/>
  <c r="CT46" i="4"/>
  <c r="CT50" i="4"/>
  <c r="CT60" i="4"/>
  <c r="CT120" i="4"/>
  <c r="CT63" i="4"/>
  <c r="CT54" i="4"/>
  <c r="CT18" i="4"/>
  <c r="CT62" i="4"/>
  <c r="CT21" i="4"/>
  <c r="CT56" i="4"/>
  <c r="CT58" i="4"/>
  <c r="CT73" i="4"/>
  <c r="CT69" i="4"/>
  <c r="CT41" i="4"/>
  <c r="CT23" i="4"/>
  <c r="CT31" i="4"/>
  <c r="CT29" i="4"/>
  <c r="CT27" i="4"/>
  <c r="CT26" i="4"/>
  <c r="CT24" i="4"/>
  <c r="CT16" i="4"/>
  <c r="CT12" i="4"/>
  <c r="CT13" i="4"/>
  <c r="CT117" i="4"/>
  <c r="CT36" i="4"/>
  <c r="CQ118" i="4"/>
  <c r="CA118" i="4"/>
  <c r="CA110" i="4"/>
  <c r="CQ110" i="4"/>
  <c r="CQ116" i="4"/>
  <c r="CQ112" i="4"/>
  <c r="CA113" i="4"/>
  <c r="CA83" i="4"/>
  <c r="CA81" i="4"/>
  <c r="CQ81" i="4"/>
  <c r="CA80" i="4"/>
  <c r="CQ115" i="4"/>
  <c r="CQ104" i="4"/>
  <c r="CA109" i="4"/>
  <c r="CA105" i="4"/>
  <c r="CA104" i="4"/>
  <c r="CA114" i="4"/>
  <c r="CQ79" i="4"/>
  <c r="CQ83" i="4"/>
  <c r="CQ114" i="4"/>
  <c r="CA112" i="4"/>
  <c r="CA111" i="4"/>
  <c r="CA79" i="4"/>
  <c r="CA85" i="4"/>
  <c r="CQ109" i="4"/>
  <c r="CA116" i="4"/>
  <c r="CQ111" i="4"/>
  <c r="CQ85" i="4"/>
  <c r="CQ86" i="4"/>
  <c r="CA86" i="4"/>
  <c r="CA84" i="4"/>
  <c r="CA115" i="4"/>
  <c r="CQ105" i="4"/>
  <c r="CQ106" i="4"/>
  <c r="CQ108" i="4"/>
  <c r="CA108" i="4"/>
  <c r="CA107" i="4"/>
  <c r="CA106" i="4"/>
  <c r="CQ107" i="4"/>
  <c r="CQ37" i="4"/>
  <c r="CA37" i="4"/>
  <c r="CA5" i="4"/>
  <c r="CQ39" i="4"/>
  <c r="CQ61" i="4"/>
  <c r="CQ49" i="4"/>
  <c r="CQ51" i="4"/>
  <c r="CQ44" i="4"/>
  <c r="CQ122" i="4"/>
  <c r="CQ52" i="4"/>
  <c r="CQ48" i="4"/>
  <c r="CQ92" i="4"/>
  <c r="CQ64" i="4"/>
  <c r="CQ17" i="4"/>
  <c r="CQ88" i="4"/>
  <c r="CQ22" i="4"/>
  <c r="CQ91" i="4"/>
  <c r="CQ121" i="4"/>
  <c r="CQ65" i="4"/>
  <c r="CQ45" i="4"/>
  <c r="CQ57" i="4"/>
  <c r="CQ59" i="4"/>
  <c r="CQ40" i="4"/>
  <c r="CQ73" i="4"/>
  <c r="CQ19" i="4"/>
  <c r="CQ120" i="4"/>
  <c r="CQ41" i="4"/>
  <c r="CQ34" i="4"/>
  <c r="CQ58" i="4"/>
  <c r="CQ62" i="4"/>
  <c r="CQ54" i="4"/>
  <c r="CQ50" i="4"/>
  <c r="CQ47" i="4"/>
  <c r="CQ67" i="4"/>
  <c r="CQ33" i="4"/>
  <c r="CQ56" i="4"/>
  <c r="CQ63" i="4"/>
  <c r="CQ20" i="4"/>
  <c r="CQ123" i="4"/>
  <c r="CQ55" i="4"/>
  <c r="CQ70" i="4"/>
  <c r="CQ46" i="4"/>
  <c r="CQ23" i="4"/>
  <c r="CQ30" i="4"/>
  <c r="CQ31" i="4"/>
  <c r="CQ27" i="4"/>
  <c r="CQ28" i="4"/>
  <c r="CQ26" i="4"/>
  <c r="CQ24" i="4"/>
  <c r="CQ12" i="4"/>
  <c r="CQ38" i="4"/>
  <c r="CQ117" i="4"/>
  <c r="CQ8" i="4"/>
  <c r="CQ14" i="4"/>
  <c r="CQ16" i="4"/>
  <c r="CQ36" i="4"/>
  <c r="BS53" i="4"/>
  <c r="BV53" i="4" s="1"/>
  <c r="CL5" i="4"/>
  <c r="BS39" i="4"/>
  <c r="BT39" i="4" s="1"/>
  <c r="BS92" i="4"/>
  <c r="CD92" i="4" s="1"/>
  <c r="BS48" i="4"/>
  <c r="BY48" i="4" s="1"/>
  <c r="BS88" i="4"/>
  <c r="BY88" i="4" s="1"/>
  <c r="BS64" i="4"/>
  <c r="CA64" i="4" s="1"/>
  <c r="BS61" i="4"/>
  <c r="CA61" i="4" s="1"/>
  <c r="BS32" i="4"/>
  <c r="BV32" i="4" s="1"/>
  <c r="BS122" i="4"/>
  <c r="BT122" i="4" s="1"/>
  <c r="BS22" i="4"/>
  <c r="CB22" i="4" s="1"/>
  <c r="BS52" i="4"/>
  <c r="BV52" i="4" s="1"/>
  <c r="BS90" i="4"/>
  <c r="BV90" i="4" s="1"/>
  <c r="BS121" i="4"/>
  <c r="CA121" i="4" s="1"/>
  <c r="BS51" i="4"/>
  <c r="BZ51" i="4" s="1"/>
  <c r="BS91" i="4"/>
  <c r="CC91" i="4" s="1"/>
  <c r="BS45" i="4"/>
  <c r="BZ45" i="4" s="1"/>
  <c r="BS44" i="4"/>
  <c r="BV44" i="4" s="1"/>
  <c r="BS65" i="4"/>
  <c r="BZ65" i="4" s="1"/>
  <c r="BS49" i="4"/>
  <c r="CD49" i="4" s="1"/>
  <c r="BS17" i="4"/>
  <c r="BT17" i="4" s="1"/>
  <c r="BS57" i="4"/>
  <c r="CA57" i="4" s="1"/>
  <c r="BS70" i="4"/>
  <c r="BY70" i="4" s="1"/>
  <c r="BS56" i="4"/>
  <c r="BT56" i="4" s="1"/>
  <c r="BS58" i="4"/>
  <c r="CB58" i="4" s="1"/>
  <c r="BS55" i="4"/>
  <c r="BT55" i="4" s="1"/>
  <c r="BS41" i="4"/>
  <c r="CE41" i="4" s="1"/>
  <c r="BS20" i="4"/>
  <c r="BT20" i="4" s="1"/>
  <c r="BS50" i="4"/>
  <c r="CD50" i="4" s="1"/>
  <c r="BS47" i="4"/>
  <c r="BY47" i="4" s="1"/>
  <c r="BS21" i="4"/>
  <c r="BU21" i="4" s="1"/>
  <c r="BS19" i="4"/>
  <c r="BY19" i="4" s="1"/>
  <c r="BS120" i="4"/>
  <c r="CB120" i="4" s="1"/>
  <c r="BS18" i="4"/>
  <c r="BX18" i="4" s="1"/>
  <c r="BS69" i="4"/>
  <c r="BV69" i="4" s="1"/>
  <c r="BS59" i="4"/>
  <c r="BT59" i="4" s="1"/>
  <c r="BS40" i="4"/>
  <c r="CE40" i="4" s="1"/>
  <c r="BS62" i="4"/>
  <c r="CB62" i="4" s="1"/>
  <c r="BS63" i="4"/>
  <c r="CB63" i="4" s="1"/>
  <c r="BS33" i="4"/>
  <c r="CB33" i="4" s="1"/>
  <c r="BS73" i="4"/>
  <c r="CC73" i="4" s="1"/>
  <c r="BS67" i="4"/>
  <c r="CB67" i="4" s="1"/>
  <c r="BS60" i="4"/>
  <c r="CD60" i="4" s="1"/>
  <c r="BS54" i="4"/>
  <c r="BV54" i="4" s="1"/>
  <c r="BS34" i="4"/>
  <c r="BT34" i="4" s="1"/>
  <c r="BS46" i="4"/>
  <c r="CA46" i="4" s="1"/>
  <c r="BS123" i="4"/>
  <c r="BT123" i="4" s="1"/>
  <c r="BS36" i="4"/>
  <c r="BT36" i="4" s="1"/>
  <c r="CB53" i="4"/>
  <c r="CR5" i="4"/>
  <c r="CT5" i="4"/>
  <c r="CK5" i="4"/>
  <c r="BW5" i="4"/>
  <c r="CM5" i="4"/>
  <c r="CN5" i="4"/>
  <c r="BS25" i="4"/>
  <c r="CA25" i="4" s="1"/>
  <c r="BS31" i="4"/>
  <c r="BU31" i="4" s="1"/>
  <c r="BS26" i="4"/>
  <c r="CB26" i="4" s="1"/>
  <c r="BS23" i="4"/>
  <c r="CD23" i="4" s="1"/>
  <c r="BS27" i="4"/>
  <c r="BU27" i="4" s="1"/>
  <c r="BS30" i="4"/>
  <c r="BZ30" i="4" s="1"/>
  <c r="BS29" i="4"/>
  <c r="CB29" i="4" s="1"/>
  <c r="BS24" i="4"/>
  <c r="CD24" i="4" s="1"/>
  <c r="BS28" i="4"/>
  <c r="BT28" i="4" s="1"/>
  <c r="BS117" i="4"/>
  <c r="BT117" i="4" s="1"/>
  <c r="BS16" i="4"/>
  <c r="BS8" i="4"/>
  <c r="CB8" i="4" s="1"/>
  <c r="BS12" i="4"/>
  <c r="CC12" i="4" s="1"/>
  <c r="BS13" i="4"/>
  <c r="BW13" i="4" s="1"/>
  <c r="BS38" i="4"/>
  <c r="CA38" i="4" s="1"/>
  <c r="BS14" i="4"/>
  <c r="CB14" i="4" s="1"/>
  <c r="BS15" i="4"/>
  <c r="CB15" i="4" s="1"/>
  <c r="D20" i="5"/>
  <c r="D14" i="5"/>
  <c r="D5" i="5"/>
  <c r="D16" i="5"/>
  <c r="D8" i="5"/>
  <c r="D7" i="5"/>
  <c r="D11" i="5"/>
  <c r="D15" i="5"/>
  <c r="D19" i="5"/>
  <c r="E19" i="5" s="1"/>
  <c r="D10" i="5"/>
  <c r="CS38" i="4" l="1"/>
  <c r="CP38" i="4"/>
  <c r="CO38" i="4"/>
  <c r="CN38" i="4"/>
  <c r="CR38" i="4"/>
  <c r="CK38" i="4"/>
  <c r="CM38" i="4"/>
  <c r="CS31" i="4"/>
  <c r="CP31" i="4"/>
  <c r="CN31" i="4"/>
  <c r="CM31" i="4"/>
  <c r="CK31" i="4"/>
  <c r="CR31" i="4"/>
  <c r="CP46" i="4"/>
  <c r="CN46" i="4"/>
  <c r="CS46" i="4"/>
  <c r="CK46" i="4"/>
  <c r="CM46" i="4"/>
  <c r="CR46" i="4"/>
  <c r="CT40" i="4"/>
  <c r="CP40" i="4"/>
  <c r="CK40" i="4"/>
  <c r="CM40" i="4"/>
  <c r="CS40" i="4"/>
  <c r="CR40" i="4"/>
  <c r="CN40" i="4"/>
  <c r="CP88" i="4"/>
  <c r="CR88" i="4"/>
  <c r="CN88" i="4"/>
  <c r="CK88" i="4"/>
  <c r="CM88" i="4"/>
  <c r="CS88" i="4"/>
  <c r="CR65" i="4"/>
  <c r="CP65" i="4"/>
  <c r="CN65" i="4"/>
  <c r="CM65" i="4"/>
  <c r="CK65" i="4"/>
  <c r="CS65" i="4"/>
  <c r="CO65" i="4"/>
  <c r="CR39" i="4"/>
  <c r="CP39" i="4"/>
  <c r="CM39" i="4"/>
  <c r="CN39" i="4"/>
  <c r="CS39" i="4"/>
  <c r="CO39" i="4"/>
  <c r="CK39" i="4"/>
  <c r="BZ37" i="4"/>
  <c r="CC37" i="4"/>
  <c r="BU37" i="4"/>
  <c r="CE37" i="4"/>
  <c r="CB37" i="4"/>
  <c r="BW37" i="4"/>
  <c r="BX37" i="4"/>
  <c r="CS107" i="4"/>
  <c r="CP107" i="4"/>
  <c r="CR107" i="4"/>
  <c r="CN107" i="4"/>
  <c r="CO107" i="4"/>
  <c r="CM107" i="4"/>
  <c r="CK107" i="4"/>
  <c r="BV83" i="4"/>
  <c r="BZ83" i="4"/>
  <c r="CE83" i="4"/>
  <c r="CB83" i="4"/>
  <c r="CC83" i="4"/>
  <c r="BY83" i="4"/>
  <c r="BW83" i="4"/>
  <c r="BU83" i="4"/>
  <c r="BX83" i="4"/>
  <c r="CE111" i="4"/>
  <c r="BZ111" i="4"/>
  <c r="CB111" i="4"/>
  <c r="CC111" i="4"/>
  <c r="BU111" i="4"/>
  <c r="BX111" i="4"/>
  <c r="BV111" i="4"/>
  <c r="BW111" i="4"/>
  <c r="CR104" i="4"/>
  <c r="CP104" i="4"/>
  <c r="CM104" i="4"/>
  <c r="CN104" i="4"/>
  <c r="CK104" i="4"/>
  <c r="CS104" i="4"/>
  <c r="CO104" i="4"/>
  <c r="CD114" i="4"/>
  <c r="BZ114" i="4"/>
  <c r="BU114" i="4"/>
  <c r="CE114" i="4"/>
  <c r="BW114" i="4"/>
  <c r="BX114" i="4"/>
  <c r="BY114" i="4"/>
  <c r="CB114" i="4"/>
  <c r="CC114" i="4"/>
  <c r="CL67" i="4"/>
  <c r="CL32" i="4"/>
  <c r="CO46" i="4"/>
  <c r="CK36" i="4"/>
  <c r="CU36" i="4" s="1"/>
  <c r="CP36" i="4"/>
  <c r="CS36" i="4"/>
  <c r="CM36" i="4"/>
  <c r="CN36" i="4"/>
  <c r="CR36" i="4"/>
  <c r="CT14" i="4"/>
  <c r="CP14" i="4"/>
  <c r="CN14" i="4"/>
  <c r="CK14" i="4"/>
  <c r="CR14" i="4"/>
  <c r="CM14" i="4"/>
  <c r="CS14" i="4"/>
  <c r="CO26" i="4"/>
  <c r="CP26" i="4"/>
  <c r="CK26" i="4"/>
  <c r="CS26" i="4"/>
  <c r="CR26" i="4"/>
  <c r="CM26" i="4"/>
  <c r="CQ29" i="4"/>
  <c r="CP29" i="4"/>
  <c r="CS29" i="4"/>
  <c r="CK29" i="4"/>
  <c r="CO29" i="4"/>
  <c r="CR29" i="4"/>
  <c r="CM29" i="4"/>
  <c r="CN29" i="4"/>
  <c r="CJ18" i="4"/>
  <c r="CR58" i="4"/>
  <c r="CP58" i="4"/>
  <c r="CN58" i="4"/>
  <c r="CS58" i="4"/>
  <c r="CK58" i="4"/>
  <c r="CU58" i="4" s="1"/>
  <c r="CM58" i="4"/>
  <c r="CL70" i="4"/>
  <c r="CP70" i="4"/>
  <c r="CO70" i="4"/>
  <c r="CK70" i="4"/>
  <c r="CM70" i="4"/>
  <c r="CN70" i="4"/>
  <c r="CS70" i="4"/>
  <c r="CR70" i="4"/>
  <c r="CS120" i="4"/>
  <c r="CP120" i="4"/>
  <c r="CM120" i="4"/>
  <c r="CN120" i="4"/>
  <c r="CK120" i="4"/>
  <c r="CR120" i="4"/>
  <c r="CS57" i="4"/>
  <c r="CP57" i="4"/>
  <c r="CR57" i="4"/>
  <c r="CO57" i="4"/>
  <c r="CN57" i="4"/>
  <c r="CM57" i="4"/>
  <c r="CK57" i="4"/>
  <c r="CT22" i="4"/>
  <c r="CP22" i="4"/>
  <c r="CR22" i="4"/>
  <c r="CK22" i="4"/>
  <c r="CV22" i="4" s="1"/>
  <c r="CW22" i="4" s="1"/>
  <c r="CS22" i="4"/>
  <c r="CO22" i="4"/>
  <c r="CM22" i="4"/>
  <c r="CN22" i="4"/>
  <c r="CP37" i="4"/>
  <c r="CK37" i="4"/>
  <c r="CL37" i="4"/>
  <c r="CR37" i="4"/>
  <c r="CN37" i="4"/>
  <c r="CS37" i="4"/>
  <c r="CM37" i="4"/>
  <c r="BV107" i="4"/>
  <c r="BZ107" i="4"/>
  <c r="BY107" i="4"/>
  <c r="CE107" i="4"/>
  <c r="CC107" i="4"/>
  <c r="BW107" i="4"/>
  <c r="BX107" i="4"/>
  <c r="BU107" i="4"/>
  <c r="CB107" i="4"/>
  <c r="BV115" i="4"/>
  <c r="BZ115" i="4"/>
  <c r="CB115" i="4"/>
  <c r="BU115" i="4"/>
  <c r="CF115" i="4" s="1"/>
  <c r="CG115" i="4" s="1"/>
  <c r="BY115" i="4"/>
  <c r="BW115" i="4"/>
  <c r="CE115" i="4"/>
  <c r="CC115" i="4"/>
  <c r="BX115" i="4"/>
  <c r="CT81" i="4"/>
  <c r="CP81" i="4"/>
  <c r="CK81" i="4"/>
  <c r="CV81" i="4" s="1"/>
  <c r="CW81" i="4" s="1"/>
  <c r="CN81" i="4"/>
  <c r="CM81" i="4"/>
  <c r="CS81" i="4"/>
  <c r="CR81" i="4"/>
  <c r="CO81" i="4"/>
  <c r="BV85" i="4"/>
  <c r="BZ85" i="4"/>
  <c r="CE85" i="4"/>
  <c r="CB85" i="4"/>
  <c r="BX85" i="4"/>
  <c r="CC85" i="4"/>
  <c r="BW85" i="4"/>
  <c r="BY85" i="4"/>
  <c r="BU85" i="4"/>
  <c r="BV116" i="4"/>
  <c r="BZ116" i="4"/>
  <c r="CE116" i="4"/>
  <c r="BW116" i="4"/>
  <c r="BU116" i="4"/>
  <c r="CC116" i="4"/>
  <c r="BY116" i="4"/>
  <c r="CB116" i="4"/>
  <c r="BX116" i="4"/>
  <c r="CL38" i="4"/>
  <c r="CL40" i="4"/>
  <c r="CV40" i="4" s="1"/>
  <c r="CW40" i="4" s="1"/>
  <c r="BV114" i="4"/>
  <c r="CT15" i="4"/>
  <c r="CP15" i="4"/>
  <c r="CS15" i="4"/>
  <c r="CR15" i="4"/>
  <c r="CN15" i="4"/>
  <c r="CO15" i="4"/>
  <c r="CM15" i="4"/>
  <c r="CK15" i="4"/>
  <c r="CT28" i="4"/>
  <c r="CP28" i="4"/>
  <c r="CM28" i="4"/>
  <c r="CO28" i="4"/>
  <c r="CS28" i="4"/>
  <c r="CR28" i="4"/>
  <c r="CN28" i="4"/>
  <c r="CK28" i="4"/>
  <c r="CM23" i="4"/>
  <c r="CP23" i="4"/>
  <c r="CN23" i="4"/>
  <c r="CK23" i="4"/>
  <c r="CS23" i="4"/>
  <c r="CR23" i="4"/>
  <c r="CP73" i="4"/>
  <c r="CK73" i="4"/>
  <c r="CV73" i="4" s="1"/>
  <c r="CW73" i="4" s="1"/>
  <c r="CS73" i="4"/>
  <c r="CN73" i="4"/>
  <c r="CO73" i="4"/>
  <c r="CR73" i="4"/>
  <c r="CM73" i="4"/>
  <c r="CN62" i="4"/>
  <c r="CP62" i="4"/>
  <c r="CS62" i="4"/>
  <c r="CR62" i="4"/>
  <c r="CM62" i="4"/>
  <c r="CK62" i="4"/>
  <c r="CO62" i="4"/>
  <c r="CQ69" i="4"/>
  <c r="CP69" i="4"/>
  <c r="CM69" i="4"/>
  <c r="CN69" i="4"/>
  <c r="CR69" i="4"/>
  <c r="CS69" i="4"/>
  <c r="CK69" i="4"/>
  <c r="CP56" i="4"/>
  <c r="CR56" i="4"/>
  <c r="CO56" i="4"/>
  <c r="CN56" i="4"/>
  <c r="CS56" i="4"/>
  <c r="CM56" i="4"/>
  <c r="CK56" i="4"/>
  <c r="CU56" i="4" s="1"/>
  <c r="CR59" i="4"/>
  <c r="CP59" i="4"/>
  <c r="CK59" i="4"/>
  <c r="CS59" i="4"/>
  <c r="CM59" i="4"/>
  <c r="CN59" i="4"/>
  <c r="CO61" i="4"/>
  <c r="CP61" i="4"/>
  <c r="CL61" i="4"/>
  <c r="CR61" i="4"/>
  <c r="CS61" i="4"/>
  <c r="CK61" i="4"/>
  <c r="CM61" i="4"/>
  <c r="CN61" i="4"/>
  <c r="CK48" i="4"/>
  <c r="CP48" i="4"/>
  <c r="CM48" i="4"/>
  <c r="CN48" i="4"/>
  <c r="CR48" i="4"/>
  <c r="CS48" i="4"/>
  <c r="CD106" i="4"/>
  <c r="BZ106" i="4"/>
  <c r="BW106" i="4"/>
  <c r="CE106" i="4"/>
  <c r="BY106" i="4"/>
  <c r="CB106" i="4"/>
  <c r="BX106" i="4"/>
  <c r="CC106" i="4"/>
  <c r="BU106" i="4"/>
  <c r="CF106" i="4" s="1"/>
  <c r="CG106" i="4" s="1"/>
  <c r="CE113" i="4"/>
  <c r="BZ113" i="4"/>
  <c r="BV113" i="4"/>
  <c r="BX113" i="4"/>
  <c r="CC113" i="4"/>
  <c r="BU113" i="4"/>
  <c r="CB113" i="4"/>
  <c r="BW113" i="4"/>
  <c r="BV84" i="4"/>
  <c r="BZ84" i="4"/>
  <c r="BY84" i="4"/>
  <c r="BU84" i="4"/>
  <c r="CF84" i="4" s="1"/>
  <c r="CG84" i="4" s="1"/>
  <c r="BX84" i="4"/>
  <c r="BW84" i="4"/>
  <c r="CE84" i="4"/>
  <c r="CB84" i="4"/>
  <c r="CC84" i="4"/>
  <c r="CE80" i="4"/>
  <c r="BZ80" i="4"/>
  <c r="BW80" i="4"/>
  <c r="CB80" i="4"/>
  <c r="BU80" i="4"/>
  <c r="CC80" i="4"/>
  <c r="BX80" i="4"/>
  <c r="CK118" i="4"/>
  <c r="CV118" i="4" s="1"/>
  <c r="CW118" i="4" s="1"/>
  <c r="CP118" i="4"/>
  <c r="CM118" i="4"/>
  <c r="CN118" i="4"/>
  <c r="CO118" i="4"/>
  <c r="CR118" i="4"/>
  <c r="CS118" i="4"/>
  <c r="CL14" i="4"/>
  <c r="CL26" i="4"/>
  <c r="CL69" i="4"/>
  <c r="CL88" i="4"/>
  <c r="CV88" i="4" s="1"/>
  <c r="CW88" i="4" s="1"/>
  <c r="BV80" i="4"/>
  <c r="CO21" i="4"/>
  <c r="CO59" i="4"/>
  <c r="BY37" i="4"/>
  <c r="CV14" i="4"/>
  <c r="CW14" i="4" s="1"/>
  <c r="CU14" i="4"/>
  <c r="CR8" i="4"/>
  <c r="CP8" i="4"/>
  <c r="CK8" i="4"/>
  <c r="CS8" i="4"/>
  <c r="CO8" i="4"/>
  <c r="CM8" i="4"/>
  <c r="CN8" i="4"/>
  <c r="CT30" i="4"/>
  <c r="CP30" i="4"/>
  <c r="CR30" i="4"/>
  <c r="CN30" i="4"/>
  <c r="CK30" i="4"/>
  <c r="CS30" i="4"/>
  <c r="CM30" i="4"/>
  <c r="CV120" i="4"/>
  <c r="CW120" i="4" s="1"/>
  <c r="CK33" i="4"/>
  <c r="CP33" i="4"/>
  <c r="CR33" i="4"/>
  <c r="CS33" i="4"/>
  <c r="CM33" i="4"/>
  <c r="CN33" i="4"/>
  <c r="CT67" i="4"/>
  <c r="CP67" i="4"/>
  <c r="CR67" i="4"/>
  <c r="CK67" i="4"/>
  <c r="CU67" i="4" s="1"/>
  <c r="CM67" i="4"/>
  <c r="CN67" i="4"/>
  <c r="CS67" i="4"/>
  <c r="CQ18" i="4"/>
  <c r="CP18" i="4"/>
  <c r="CM18" i="4"/>
  <c r="CO18" i="4"/>
  <c r="CR18" i="4"/>
  <c r="CK18" i="4"/>
  <c r="CN18" i="4"/>
  <c r="CS18" i="4"/>
  <c r="CO19" i="4"/>
  <c r="CP19" i="4"/>
  <c r="CS19" i="4"/>
  <c r="CK19" i="4"/>
  <c r="CR19" i="4"/>
  <c r="CM19" i="4"/>
  <c r="CN19" i="4"/>
  <c r="CJ64" i="4"/>
  <c r="CP64" i="4"/>
  <c r="CR64" i="4"/>
  <c r="CN64" i="4"/>
  <c r="CM64" i="4"/>
  <c r="CK64" i="4"/>
  <c r="CS64" i="4"/>
  <c r="CK17" i="4"/>
  <c r="CP17" i="4"/>
  <c r="CS17" i="4"/>
  <c r="CM17" i="4"/>
  <c r="CL17" i="4"/>
  <c r="CR17" i="4"/>
  <c r="CN17" i="4"/>
  <c r="CK108" i="4"/>
  <c r="CU108" i="4" s="1"/>
  <c r="CP108" i="4"/>
  <c r="CL108" i="4"/>
  <c r="CV108" i="4" s="1"/>
  <c r="CW108" i="4" s="1"/>
  <c r="CM108" i="4"/>
  <c r="CR108" i="4"/>
  <c r="CN108" i="4"/>
  <c r="CO108" i="4"/>
  <c r="CS108" i="4"/>
  <c r="CF116" i="4"/>
  <c r="CG116" i="4" s="1"/>
  <c r="CP79" i="4"/>
  <c r="CS79" i="4"/>
  <c r="CM79" i="4"/>
  <c r="CK79" i="4"/>
  <c r="CV79" i="4" s="1"/>
  <c r="CW79" i="4" s="1"/>
  <c r="CO79" i="4"/>
  <c r="CL79" i="4"/>
  <c r="CN79" i="4"/>
  <c r="CR79" i="4"/>
  <c r="BV109" i="4"/>
  <c r="BZ109" i="4"/>
  <c r="BW109" i="4"/>
  <c r="BY109" i="4"/>
  <c r="BU109" i="4"/>
  <c r="CB109" i="4"/>
  <c r="CC109" i="4"/>
  <c r="BX109" i="4"/>
  <c r="CE109" i="4"/>
  <c r="CE105" i="4"/>
  <c r="BZ105" i="4"/>
  <c r="BY105" i="4"/>
  <c r="CC105" i="4"/>
  <c r="BV105" i="4"/>
  <c r="BU105" i="4"/>
  <c r="BX105" i="4"/>
  <c r="CB105" i="4"/>
  <c r="BW105" i="4"/>
  <c r="CS111" i="4"/>
  <c r="CP111" i="4"/>
  <c r="CK111" i="4"/>
  <c r="CU111" i="4" s="1"/>
  <c r="CL111" i="4"/>
  <c r="CN111" i="4"/>
  <c r="CR111" i="4"/>
  <c r="CM111" i="4"/>
  <c r="CD118" i="4"/>
  <c r="BZ118" i="4"/>
  <c r="BU118" i="4"/>
  <c r="CF118" i="4" s="1"/>
  <c r="CG118" i="4" s="1"/>
  <c r="CC118" i="4"/>
  <c r="BW118" i="4"/>
  <c r="BV118" i="4"/>
  <c r="CE118" i="4"/>
  <c r="BY118" i="4"/>
  <c r="CB118" i="4"/>
  <c r="BX118" i="4"/>
  <c r="CL27" i="4"/>
  <c r="CL39" i="4"/>
  <c r="CL104" i="4"/>
  <c r="CU104" i="4" s="1"/>
  <c r="CO31" i="4"/>
  <c r="CO40" i="4"/>
  <c r="CO37" i="4"/>
  <c r="CJ15" i="4"/>
  <c r="CQ13" i="4"/>
  <c r="CP13" i="4"/>
  <c r="CR13" i="4"/>
  <c r="CK13" i="4"/>
  <c r="CU13" i="4" s="1"/>
  <c r="CS13" i="4"/>
  <c r="CM13" i="4"/>
  <c r="CN13" i="4"/>
  <c r="CJ26" i="4"/>
  <c r="CQ25" i="4"/>
  <c r="CP25" i="4"/>
  <c r="CO25" i="4"/>
  <c r="CR25" i="4"/>
  <c r="CM25" i="4"/>
  <c r="CK25" i="4"/>
  <c r="CU25" i="4" s="1"/>
  <c r="CN25" i="4"/>
  <c r="CS25" i="4"/>
  <c r="CJ33" i="4"/>
  <c r="CJ46" i="4"/>
  <c r="CK47" i="4"/>
  <c r="CP47" i="4"/>
  <c r="CS47" i="4"/>
  <c r="CN47" i="4"/>
  <c r="CR47" i="4"/>
  <c r="CM47" i="4"/>
  <c r="CT34" i="4"/>
  <c r="CP34" i="4"/>
  <c r="CN34" i="4"/>
  <c r="CO34" i="4"/>
  <c r="CS34" i="4"/>
  <c r="CM34" i="4"/>
  <c r="CR34" i="4"/>
  <c r="CK34" i="4"/>
  <c r="CV34" i="4" s="1"/>
  <c r="CW34" i="4" s="1"/>
  <c r="CR55" i="4"/>
  <c r="CP55" i="4"/>
  <c r="CK55" i="4"/>
  <c r="CV55" i="4" s="1"/>
  <c r="CW55" i="4" s="1"/>
  <c r="CS55" i="4"/>
  <c r="CM55" i="4"/>
  <c r="CN55" i="4"/>
  <c r="CJ65" i="4"/>
  <c r="CN44" i="4"/>
  <c r="CP44" i="4"/>
  <c r="CK44" i="4"/>
  <c r="CO44" i="4"/>
  <c r="CM44" i="4"/>
  <c r="CS44" i="4"/>
  <c r="CR44" i="4"/>
  <c r="CJ51" i="4"/>
  <c r="CP51" i="4"/>
  <c r="CN51" i="4"/>
  <c r="CO51" i="4"/>
  <c r="CM51" i="4"/>
  <c r="CK51" i="4"/>
  <c r="CR51" i="4"/>
  <c r="CS51" i="4"/>
  <c r="CO92" i="4"/>
  <c r="CP92" i="4"/>
  <c r="CN92" i="4"/>
  <c r="CS92" i="4"/>
  <c r="CM92" i="4"/>
  <c r="CK92" i="4"/>
  <c r="CU92" i="4" s="1"/>
  <c r="CR92" i="4"/>
  <c r="CC5" i="4"/>
  <c r="BZ5" i="4"/>
  <c r="CB5" i="4"/>
  <c r="BX5" i="4"/>
  <c r="BY5" i="4"/>
  <c r="BU5" i="4"/>
  <c r="CE5" i="4"/>
  <c r="BT107" i="4"/>
  <c r="CF107" i="4" s="1"/>
  <c r="CG107" i="4" s="1"/>
  <c r="CN106" i="4"/>
  <c r="CP106" i="4"/>
  <c r="CM106" i="4"/>
  <c r="CR106" i="4"/>
  <c r="CK106" i="4"/>
  <c r="CS106" i="4"/>
  <c r="BT113" i="4"/>
  <c r="CF113" i="4" s="1"/>
  <c r="CG113" i="4" s="1"/>
  <c r="CD81" i="4"/>
  <c r="BZ81" i="4"/>
  <c r="BU81" i="4"/>
  <c r="CF81" i="4" s="1"/>
  <c r="CG81" i="4" s="1"/>
  <c r="BX81" i="4"/>
  <c r="CB81" i="4"/>
  <c r="CE81" i="4"/>
  <c r="CC81" i="4"/>
  <c r="BV81" i="4"/>
  <c r="BW81" i="4"/>
  <c r="CQ84" i="4"/>
  <c r="CP84" i="4"/>
  <c r="CS84" i="4"/>
  <c r="CR84" i="4"/>
  <c r="CK84" i="4"/>
  <c r="CU84" i="4" s="1"/>
  <c r="CM84" i="4"/>
  <c r="CN84" i="4"/>
  <c r="BV86" i="4"/>
  <c r="BZ86" i="4"/>
  <c r="BU86" i="4"/>
  <c r="CF86" i="4" s="1"/>
  <c r="CG86" i="4" s="1"/>
  <c r="BX86" i="4"/>
  <c r="BY86" i="4"/>
  <c r="BW86" i="4"/>
  <c r="CE86" i="4"/>
  <c r="CH86" i="4" s="1"/>
  <c r="CB86" i="4"/>
  <c r="CC86" i="4"/>
  <c r="CR112" i="4"/>
  <c r="CP112" i="4"/>
  <c r="CS112" i="4"/>
  <c r="CN112" i="4"/>
  <c r="CM112" i="4"/>
  <c r="CK112" i="4"/>
  <c r="CV112" i="4" s="1"/>
  <c r="CW112" i="4" s="1"/>
  <c r="CT105" i="4"/>
  <c r="CP105" i="4"/>
  <c r="CK105" i="4"/>
  <c r="CS105" i="4"/>
  <c r="CL105" i="4"/>
  <c r="CV105" i="4" s="1"/>
  <c r="CW105" i="4" s="1"/>
  <c r="CN105" i="4"/>
  <c r="CR105" i="4"/>
  <c r="CM105" i="4"/>
  <c r="CU105" i="4" s="1"/>
  <c r="CO105" i="4"/>
  <c r="CL36" i="4"/>
  <c r="CL28" i="4"/>
  <c r="CL23" i="4"/>
  <c r="CL58" i="4"/>
  <c r="CV58" i="4" s="1"/>
  <c r="CW58" i="4" s="1"/>
  <c r="CL59" i="4"/>
  <c r="CL57" i="4"/>
  <c r="CL44" i="4"/>
  <c r="BV5" i="4"/>
  <c r="CL112" i="4"/>
  <c r="CO58" i="4"/>
  <c r="CO88" i="4"/>
  <c r="CO106" i="4"/>
  <c r="BY111" i="4"/>
  <c r="CJ8" i="4"/>
  <c r="CL117" i="4"/>
  <c r="CP117" i="4"/>
  <c r="CK117" i="4"/>
  <c r="CV117" i="4" s="1"/>
  <c r="CW117" i="4" s="1"/>
  <c r="CR117" i="4"/>
  <c r="CS117" i="4"/>
  <c r="CM117" i="4"/>
  <c r="CN117" i="4"/>
  <c r="CJ28" i="4"/>
  <c r="CS27" i="4"/>
  <c r="CP27" i="4"/>
  <c r="CR27" i="4"/>
  <c r="CK27" i="4"/>
  <c r="CM27" i="4"/>
  <c r="CN27" i="4"/>
  <c r="CJ47" i="4"/>
  <c r="CJ17" i="4"/>
  <c r="CJ41" i="4"/>
  <c r="CP41" i="4"/>
  <c r="CO41" i="4"/>
  <c r="CK41" i="4"/>
  <c r="CR41" i="4"/>
  <c r="CM41" i="4"/>
  <c r="CN41" i="4"/>
  <c r="CS41" i="4"/>
  <c r="CJ57" i="4"/>
  <c r="CJ61" i="4"/>
  <c r="CO45" i="4"/>
  <c r="CP45" i="4"/>
  <c r="CM45" i="4"/>
  <c r="CK45" i="4"/>
  <c r="CU45" i="4" s="1"/>
  <c r="CR45" i="4"/>
  <c r="CN45" i="4"/>
  <c r="CS45" i="4"/>
  <c r="CR91" i="4"/>
  <c r="CP91" i="4"/>
  <c r="CS91" i="4"/>
  <c r="CK91" i="4"/>
  <c r="CN91" i="4"/>
  <c r="CO91" i="4"/>
  <c r="CM91" i="4"/>
  <c r="CQ90" i="4"/>
  <c r="CP90" i="4"/>
  <c r="CR90" i="4"/>
  <c r="CO90" i="4"/>
  <c r="CK90" i="4"/>
  <c r="CV90" i="4" s="1"/>
  <c r="CW90" i="4" s="1"/>
  <c r="CN90" i="4"/>
  <c r="CS90" i="4"/>
  <c r="CM90" i="4"/>
  <c r="CQ53" i="4"/>
  <c r="CP53" i="4"/>
  <c r="CM53" i="4"/>
  <c r="CO53" i="4"/>
  <c r="CS53" i="4"/>
  <c r="CK53" i="4"/>
  <c r="CV53" i="4" s="1"/>
  <c r="CW53" i="4" s="1"/>
  <c r="CR53" i="4"/>
  <c r="CN53" i="4"/>
  <c r="CJ106" i="4"/>
  <c r="BT83" i="4"/>
  <c r="CF83" i="4" s="1"/>
  <c r="CG83" i="4" s="1"/>
  <c r="CF85" i="4"/>
  <c r="CG85" i="4" s="1"/>
  <c r="CQ113" i="4"/>
  <c r="CP113" i="4"/>
  <c r="CR113" i="4"/>
  <c r="CM113" i="4"/>
  <c r="CL113" i="4"/>
  <c r="CS113" i="4"/>
  <c r="CN113" i="4"/>
  <c r="CO113" i="4"/>
  <c r="CK113" i="4"/>
  <c r="CU113" i="4" s="1"/>
  <c r="BT79" i="4"/>
  <c r="BZ79" i="4"/>
  <c r="CB79" i="4"/>
  <c r="CE79" i="4"/>
  <c r="CH79" i="4" s="1"/>
  <c r="CC79" i="4"/>
  <c r="BY79" i="4"/>
  <c r="BV79" i="4"/>
  <c r="BX79" i="4"/>
  <c r="BU79" i="4"/>
  <c r="BW79" i="4"/>
  <c r="CQ80" i="4"/>
  <c r="CP80" i="4"/>
  <c r="CR80" i="4"/>
  <c r="CN80" i="4"/>
  <c r="CO80" i="4"/>
  <c r="CL80" i="4"/>
  <c r="CK80" i="4"/>
  <c r="CV80" i="4" s="1"/>
  <c r="CW80" i="4" s="1"/>
  <c r="CS80" i="4"/>
  <c r="CM80" i="4"/>
  <c r="CP85" i="4"/>
  <c r="CR85" i="4"/>
  <c r="CN85" i="4"/>
  <c r="CK85" i="4"/>
  <c r="CS85" i="4"/>
  <c r="CM85" i="4"/>
  <c r="CO85" i="4"/>
  <c r="CL13" i="4"/>
  <c r="CL47" i="4"/>
  <c r="CL34" i="4"/>
  <c r="CL90" i="4"/>
  <c r="CL91" i="4"/>
  <c r="CL53" i="4"/>
  <c r="CL85" i="4"/>
  <c r="CL118" i="4"/>
  <c r="CO30" i="4"/>
  <c r="CO120" i="4"/>
  <c r="CU120" i="4" s="1"/>
  <c r="BY81" i="4"/>
  <c r="BY113" i="4"/>
  <c r="CT38" i="4"/>
  <c r="CT33" i="4"/>
  <c r="CV12" i="4"/>
  <c r="CW12" i="4" s="1"/>
  <c r="CR12" i="4"/>
  <c r="CP12" i="4"/>
  <c r="CM12" i="4"/>
  <c r="CS12" i="4"/>
  <c r="CN12" i="4"/>
  <c r="CK12" i="4"/>
  <c r="CJ30" i="4"/>
  <c r="CJ24" i="4"/>
  <c r="CP24" i="4"/>
  <c r="CK24" i="4"/>
  <c r="CS24" i="4"/>
  <c r="CM24" i="4"/>
  <c r="CN24" i="4"/>
  <c r="CO24" i="4"/>
  <c r="CR24" i="4"/>
  <c r="CJ70" i="4"/>
  <c r="CU59" i="4"/>
  <c r="CV59" i="4"/>
  <c r="CW59" i="4" s="1"/>
  <c r="CJ69" i="4"/>
  <c r="CK63" i="4"/>
  <c r="CV63" i="4" s="1"/>
  <c r="CW63" i="4" s="1"/>
  <c r="CP63" i="4"/>
  <c r="CR63" i="4"/>
  <c r="CS63" i="4"/>
  <c r="CM63" i="4"/>
  <c r="CN63" i="4"/>
  <c r="CT123" i="4"/>
  <c r="CP123" i="4"/>
  <c r="CK123" i="4"/>
  <c r="CR123" i="4"/>
  <c r="CS123" i="4"/>
  <c r="CM123" i="4"/>
  <c r="CO123" i="4"/>
  <c r="CN123" i="4"/>
  <c r="CQ21" i="4"/>
  <c r="CP21" i="4"/>
  <c r="CK21" i="4"/>
  <c r="CU21" i="4" s="1"/>
  <c r="CN21" i="4"/>
  <c r="CM21" i="4"/>
  <c r="CS21" i="4"/>
  <c r="CR21" i="4"/>
  <c r="CN20" i="4"/>
  <c r="CP20" i="4"/>
  <c r="CM20" i="4"/>
  <c r="CO20" i="4"/>
  <c r="CR20" i="4"/>
  <c r="CS20" i="4"/>
  <c r="CK20" i="4"/>
  <c r="CV20" i="4" s="1"/>
  <c r="CW20" i="4" s="1"/>
  <c r="CJ44" i="4"/>
  <c r="CM122" i="4"/>
  <c r="CP122" i="4"/>
  <c r="CL122" i="4"/>
  <c r="CN122" i="4"/>
  <c r="CO122" i="4"/>
  <c r="CR122" i="4"/>
  <c r="CS122" i="4"/>
  <c r="CK122" i="4"/>
  <c r="CV122" i="4" s="1"/>
  <c r="CW122" i="4" s="1"/>
  <c r="CT49" i="4"/>
  <c r="CP49" i="4"/>
  <c r="CK49" i="4"/>
  <c r="CU49" i="4" s="1"/>
  <c r="CS49" i="4"/>
  <c r="CM49" i="4"/>
  <c r="CR49" i="4"/>
  <c r="CN49" i="4"/>
  <c r="CQ32" i="4"/>
  <c r="CP32" i="4"/>
  <c r="CS32" i="4"/>
  <c r="CM32" i="4"/>
  <c r="CK32" i="4"/>
  <c r="CV32" i="4" s="1"/>
  <c r="CW32" i="4" s="1"/>
  <c r="CR32" i="4"/>
  <c r="CN32" i="4"/>
  <c r="CJ37" i="4"/>
  <c r="CJ107" i="4"/>
  <c r="BT105" i="4"/>
  <c r="CF105" i="4" s="1"/>
  <c r="CG105" i="4" s="1"/>
  <c r="BT111" i="4"/>
  <c r="CF111" i="4" s="1"/>
  <c r="CG111" i="4" s="1"/>
  <c r="BT114" i="4"/>
  <c r="CF114" i="4" s="1"/>
  <c r="CG114" i="4" s="1"/>
  <c r="CL109" i="4"/>
  <c r="CP109" i="4"/>
  <c r="CO109" i="4"/>
  <c r="CR109" i="4"/>
  <c r="CM109" i="4"/>
  <c r="CK109" i="4"/>
  <c r="CV109" i="4" s="1"/>
  <c r="CW109" i="4" s="1"/>
  <c r="CN109" i="4"/>
  <c r="CS109" i="4"/>
  <c r="CT115" i="4"/>
  <c r="CP115" i="4"/>
  <c r="CO115" i="4"/>
  <c r="CM115" i="4"/>
  <c r="CL115" i="4"/>
  <c r="CR115" i="4"/>
  <c r="CK115" i="4"/>
  <c r="CU115" i="4" s="1"/>
  <c r="CN115" i="4"/>
  <c r="CS115" i="4"/>
  <c r="CL83" i="4"/>
  <c r="CP83" i="4"/>
  <c r="CK83" i="4"/>
  <c r="CV83" i="4" s="1"/>
  <c r="CW83" i="4" s="1"/>
  <c r="CR83" i="4"/>
  <c r="CM83" i="4"/>
  <c r="CS83" i="4"/>
  <c r="CN83" i="4"/>
  <c r="CO83" i="4"/>
  <c r="CN114" i="4"/>
  <c r="CP114" i="4"/>
  <c r="CS114" i="4"/>
  <c r="CK114" i="4"/>
  <c r="CV114" i="4" s="1"/>
  <c r="CW114" i="4" s="1"/>
  <c r="CM114" i="4"/>
  <c r="CR114" i="4"/>
  <c r="BY110" i="4"/>
  <c r="BZ110" i="4"/>
  <c r="CB110" i="4"/>
  <c r="BX110" i="4"/>
  <c r="BU110" i="4"/>
  <c r="CF110" i="4" s="1"/>
  <c r="CG110" i="4" s="1"/>
  <c r="CC110" i="4"/>
  <c r="CE110" i="4"/>
  <c r="BW110" i="4"/>
  <c r="CL16" i="4"/>
  <c r="CL31" i="4"/>
  <c r="CV31" i="4" s="1"/>
  <c r="CW31" i="4" s="1"/>
  <c r="CL62" i="4"/>
  <c r="CV62" i="4" s="1"/>
  <c r="CW62" i="4" s="1"/>
  <c r="CL123" i="4"/>
  <c r="CU123" i="4" s="1"/>
  <c r="CL19" i="4"/>
  <c r="CL49" i="4"/>
  <c r="CL51" i="4"/>
  <c r="BV37" i="4"/>
  <c r="CL81" i="4"/>
  <c r="CO36" i="4"/>
  <c r="CO23" i="4"/>
  <c r="CO63" i="4"/>
  <c r="CO48" i="4"/>
  <c r="CO114" i="4"/>
  <c r="CQ15" i="4"/>
  <c r="CT8" i="4"/>
  <c r="CT25" i="4"/>
  <c r="CJ38" i="4"/>
  <c r="CM16" i="4"/>
  <c r="CP16" i="4"/>
  <c r="CO16" i="4"/>
  <c r="CR16" i="4"/>
  <c r="CS16" i="4"/>
  <c r="CK16" i="4"/>
  <c r="CU16" i="4" s="1"/>
  <c r="CJ27" i="4"/>
  <c r="CJ23" i="4"/>
  <c r="CV123" i="4"/>
  <c r="CW123" i="4" s="1"/>
  <c r="CJ19" i="4"/>
  <c r="CL54" i="4"/>
  <c r="CP54" i="4"/>
  <c r="CO54" i="4"/>
  <c r="CK54" i="4"/>
  <c r="CV54" i="4" s="1"/>
  <c r="CW54" i="4" s="1"/>
  <c r="CS54" i="4"/>
  <c r="CR54" i="4"/>
  <c r="CM54" i="4"/>
  <c r="CN54" i="4"/>
  <c r="CU48" i="4"/>
  <c r="CV48" i="4"/>
  <c r="CW48" i="4" s="1"/>
  <c r="CV91" i="4"/>
  <c r="CW91" i="4" s="1"/>
  <c r="CU91" i="4"/>
  <c r="CQ60" i="4"/>
  <c r="CP60" i="4"/>
  <c r="CM60" i="4"/>
  <c r="CR60" i="4"/>
  <c r="CN60" i="4"/>
  <c r="CO60" i="4"/>
  <c r="CS60" i="4"/>
  <c r="CK60" i="4"/>
  <c r="CU60" i="4" s="1"/>
  <c r="CP50" i="4"/>
  <c r="CO50" i="4"/>
  <c r="CK50" i="4"/>
  <c r="CV50" i="4" s="1"/>
  <c r="CW50" i="4" s="1"/>
  <c r="CR50" i="4"/>
  <c r="CS50" i="4"/>
  <c r="CM50" i="4"/>
  <c r="CN50" i="4"/>
  <c r="CR121" i="4"/>
  <c r="CP121" i="4"/>
  <c r="CK121" i="4"/>
  <c r="CU121" i="4" s="1"/>
  <c r="CO121" i="4"/>
  <c r="CS121" i="4"/>
  <c r="CN121" i="4"/>
  <c r="CM121" i="4"/>
  <c r="CJ52" i="4"/>
  <c r="CP52" i="4"/>
  <c r="CM52" i="4"/>
  <c r="CK52" i="4"/>
  <c r="CS52" i="4"/>
  <c r="CL52" i="4"/>
  <c r="CR52" i="4"/>
  <c r="CN52" i="4"/>
  <c r="CJ39" i="4"/>
  <c r="BT37" i="4"/>
  <c r="CF37" i="4" s="1"/>
  <c r="CG37" i="4" s="1"/>
  <c r="BT108" i="4"/>
  <c r="BZ108" i="4"/>
  <c r="CB108" i="4"/>
  <c r="BX108" i="4"/>
  <c r="BV108" i="4"/>
  <c r="CE108" i="4"/>
  <c r="CC108" i="4"/>
  <c r="BU108" i="4"/>
  <c r="BW108" i="4"/>
  <c r="BY108" i="4"/>
  <c r="CU85" i="4"/>
  <c r="CV85" i="4"/>
  <c r="CW85" i="4" s="1"/>
  <c r="BT109" i="4"/>
  <c r="CF109" i="4" s="1"/>
  <c r="CG109" i="4" s="1"/>
  <c r="CF80" i="4"/>
  <c r="CG80" i="4" s="1"/>
  <c r="CL86" i="4"/>
  <c r="CU86" i="4" s="1"/>
  <c r="CP86" i="4"/>
  <c r="CK86" i="4"/>
  <c r="CV86" i="4" s="1"/>
  <c r="CW86" i="4" s="1"/>
  <c r="CO86" i="4"/>
  <c r="CS86" i="4"/>
  <c r="CN86" i="4"/>
  <c r="CR86" i="4"/>
  <c r="CM86" i="4"/>
  <c r="CE112" i="4"/>
  <c r="BZ112" i="4"/>
  <c r="BV112" i="4"/>
  <c r="CB112" i="4"/>
  <c r="CC112" i="4"/>
  <c r="BX112" i="4"/>
  <c r="BU112" i="4"/>
  <c r="CF112" i="4" s="1"/>
  <c r="CG112" i="4" s="1"/>
  <c r="BW112" i="4"/>
  <c r="CL116" i="4"/>
  <c r="CP116" i="4"/>
  <c r="CM116" i="4"/>
  <c r="CR116" i="4"/>
  <c r="CN116" i="4"/>
  <c r="CK116" i="4"/>
  <c r="CV116" i="4" s="1"/>
  <c r="CW116" i="4" s="1"/>
  <c r="CS116" i="4"/>
  <c r="CO116" i="4"/>
  <c r="CE104" i="4"/>
  <c r="BZ104" i="4"/>
  <c r="CC104" i="4"/>
  <c r="BW104" i="4"/>
  <c r="BY104" i="4"/>
  <c r="BU104" i="4"/>
  <c r="CF104" i="4" s="1"/>
  <c r="CG104" i="4" s="1"/>
  <c r="CB104" i="4"/>
  <c r="BX104" i="4"/>
  <c r="CR110" i="4"/>
  <c r="CP110" i="4"/>
  <c r="CK110" i="4"/>
  <c r="CU110" i="4" s="1"/>
  <c r="CS110" i="4"/>
  <c r="CM110" i="4"/>
  <c r="CN110" i="4"/>
  <c r="CO110" i="4"/>
  <c r="CL15" i="4"/>
  <c r="CL29" i="4"/>
  <c r="CV29" i="4" s="1"/>
  <c r="CW29" i="4" s="1"/>
  <c r="CL60" i="4"/>
  <c r="CL46" i="4"/>
  <c r="CL73" i="4"/>
  <c r="CL92" i="4"/>
  <c r="CL65" i="4"/>
  <c r="CL107" i="4"/>
  <c r="BV104" i="4"/>
  <c r="CO12" i="4"/>
  <c r="CU12" i="4" s="1"/>
  <c r="CO33" i="4"/>
  <c r="CO55" i="4"/>
  <c r="CO64" i="4"/>
  <c r="CO84" i="4"/>
  <c r="CN26" i="4"/>
  <c r="BW88" i="4"/>
  <c r="BW64" i="4"/>
  <c r="BU22" i="4"/>
  <c r="BX64" i="4"/>
  <c r="BW22" i="4"/>
  <c r="BX88" i="4"/>
  <c r="CD41" i="4"/>
  <c r="BW53" i="4"/>
  <c r="BX57" i="4"/>
  <c r="BU57" i="4"/>
  <c r="CD88" i="4"/>
  <c r="BU88" i="4"/>
  <c r="BU48" i="4"/>
  <c r="BX48" i="4"/>
  <c r="BX53" i="4"/>
  <c r="BU53" i="4"/>
  <c r="CD53" i="4"/>
  <c r="CB17" i="4"/>
  <c r="BW91" i="4"/>
  <c r="BX90" i="4"/>
  <c r="BU17" i="4"/>
  <c r="CB57" i="4"/>
  <c r="BU121" i="4"/>
  <c r="CB88" i="4"/>
  <c r="CD91" i="4"/>
  <c r="BX91" i="4"/>
  <c r="CB91" i="4"/>
  <c r="BU91" i="4"/>
  <c r="CF5" i="4"/>
  <c r="CG5" i="4" s="1"/>
  <c r="CH5" i="4"/>
  <c r="CB90" i="4"/>
  <c r="CD17" i="4"/>
  <c r="BW41" i="4"/>
  <c r="BX41" i="4"/>
  <c r="BU41" i="4"/>
  <c r="BU33" i="4"/>
  <c r="BX33" i="4"/>
  <c r="BU122" i="4"/>
  <c r="CD22" i="4"/>
  <c r="BX17" i="4"/>
  <c r="BX22" i="4"/>
  <c r="BW17" i="4"/>
  <c r="BW57" i="4"/>
  <c r="CB122" i="4"/>
  <c r="BT48" i="4"/>
  <c r="BX50" i="4"/>
  <c r="BX92" i="4"/>
  <c r="BW69" i="4"/>
  <c r="BW92" i="4"/>
  <c r="CB121" i="4"/>
  <c r="BX121" i="4"/>
  <c r="BW121" i="4"/>
  <c r="BU64" i="4"/>
  <c r="BW62" i="4"/>
  <c r="BW50" i="4"/>
  <c r="CD67" i="4"/>
  <c r="CB49" i="4"/>
  <c r="BX62" i="4"/>
  <c r="BW33" i="4"/>
  <c r="BU62" i="4"/>
  <c r="CD59" i="4"/>
  <c r="CB50" i="4"/>
  <c r="BX69" i="4"/>
  <c r="BU50" i="4"/>
  <c r="CD62" i="4"/>
  <c r="BU92" i="4"/>
  <c r="CB64" i="4"/>
  <c r="BT64" i="4"/>
  <c r="CD64" i="4"/>
  <c r="BT92" i="4"/>
  <c r="BX65" i="4"/>
  <c r="BW65" i="4"/>
  <c r="BU65" i="4"/>
  <c r="CD65" i="4"/>
  <c r="CD121" i="4"/>
  <c r="CB65" i="4"/>
  <c r="CD34" i="4"/>
  <c r="CB36" i="4"/>
  <c r="CB59" i="4"/>
  <c r="CD47" i="4"/>
  <c r="CB69" i="4"/>
  <c r="CB41" i="4"/>
  <c r="BT90" i="4"/>
  <c r="BT57" i="4"/>
  <c r="BX36" i="4"/>
  <c r="BW19" i="4"/>
  <c r="BW51" i="4"/>
  <c r="BW90" i="4"/>
  <c r="BU69" i="4"/>
  <c r="BU59" i="4"/>
  <c r="BU19" i="4"/>
  <c r="BU51" i="4"/>
  <c r="CD69" i="4"/>
  <c r="CD21" i="4"/>
  <c r="CB51" i="4"/>
  <c r="CB61" i="4"/>
  <c r="BT69" i="4"/>
  <c r="BT51" i="4"/>
  <c r="BU70" i="4"/>
  <c r="BX55" i="4"/>
  <c r="BX59" i="4"/>
  <c r="BX120" i="4"/>
  <c r="BX122" i="4"/>
  <c r="BX51" i="4"/>
  <c r="BX61" i="4"/>
  <c r="BW59" i="4"/>
  <c r="BW61" i="4"/>
  <c r="BW48" i="4"/>
  <c r="BW122" i="4"/>
  <c r="BU61" i="4"/>
  <c r="BU90" i="4"/>
  <c r="CD36" i="4"/>
  <c r="CD51" i="4"/>
  <c r="CD90" i="4"/>
  <c r="CD61" i="4"/>
  <c r="CD52" i="4"/>
  <c r="CB19" i="4"/>
  <c r="CB48" i="4"/>
  <c r="BT52" i="4"/>
  <c r="BX49" i="4"/>
  <c r="BW70" i="4"/>
  <c r="BX70" i="4"/>
  <c r="BT70" i="4"/>
  <c r="BT121" i="4"/>
  <c r="BX58" i="4"/>
  <c r="BW36" i="4"/>
  <c r="BW58" i="4"/>
  <c r="CB70" i="4"/>
  <c r="BT18" i="4"/>
  <c r="CB18" i="4"/>
  <c r="CJ5" i="4"/>
  <c r="CB47" i="4"/>
  <c r="CD48" i="4"/>
  <c r="BX47" i="4"/>
  <c r="BW47" i="4"/>
  <c r="BX54" i="4"/>
  <c r="BW54" i="4"/>
  <c r="BU54" i="4"/>
  <c r="CD54" i="4"/>
  <c r="CB54" i="4"/>
  <c r="BT47" i="4"/>
  <c r="BX73" i="4"/>
  <c r="BX20" i="4"/>
  <c r="BW63" i="4"/>
  <c r="BW18" i="4"/>
  <c r="BU123" i="4"/>
  <c r="BU56" i="4"/>
  <c r="CD63" i="4"/>
  <c r="CB40" i="4"/>
  <c r="BT58" i="4"/>
  <c r="BW123" i="4"/>
  <c r="BW44" i="4"/>
  <c r="BU58" i="4"/>
  <c r="BU20" i="4"/>
  <c r="BU39" i="4"/>
  <c r="CD56" i="4"/>
  <c r="BT21" i="4"/>
  <c r="BW60" i="4"/>
  <c r="BT44" i="4"/>
  <c r="BW20" i="4"/>
  <c r="BW40" i="4"/>
  <c r="BU18" i="4"/>
  <c r="CD40" i="4"/>
  <c r="CD20" i="4"/>
  <c r="CD39" i="4"/>
  <c r="BX21" i="4"/>
  <c r="CB123" i="4"/>
  <c r="CB60" i="4"/>
  <c r="BT46" i="4"/>
  <c r="CD123" i="4"/>
  <c r="BW46" i="4"/>
  <c r="BU63" i="4"/>
  <c r="CB20" i="4"/>
  <c r="BW56" i="4"/>
  <c r="BU44" i="4"/>
  <c r="CD18" i="4"/>
  <c r="CB56" i="4"/>
  <c r="CB21" i="4"/>
  <c r="CB44" i="4"/>
  <c r="CB39" i="4"/>
  <c r="BX44" i="4"/>
  <c r="BX39" i="4"/>
  <c r="BU40" i="4"/>
  <c r="BU60" i="4"/>
  <c r="BW21" i="4"/>
  <c r="BT60" i="4"/>
  <c r="BX123" i="4"/>
  <c r="BX63" i="4"/>
  <c r="BX40" i="4"/>
  <c r="BW39" i="4"/>
  <c r="BT91" i="4"/>
  <c r="BW73" i="4"/>
  <c r="BW55" i="4"/>
  <c r="BW120" i="4"/>
  <c r="BW32" i="4"/>
  <c r="BW52" i="4"/>
  <c r="BU73" i="4"/>
  <c r="BU45" i="4"/>
  <c r="BU52" i="4"/>
  <c r="CD19" i="4"/>
  <c r="CB55" i="4"/>
  <c r="CB46" i="4"/>
  <c r="CB32" i="4"/>
  <c r="BT54" i="4"/>
  <c r="BT73" i="4"/>
  <c r="BT65" i="4"/>
  <c r="BX34" i="4"/>
  <c r="BX19" i="4"/>
  <c r="BX32" i="4"/>
  <c r="BW34" i="4"/>
  <c r="BW49" i="4"/>
  <c r="BU49" i="4"/>
  <c r="CD32" i="4"/>
  <c r="CB34" i="4"/>
  <c r="CB73" i="4"/>
  <c r="CB45" i="4"/>
  <c r="BT19" i="4"/>
  <c r="BT32" i="4"/>
  <c r="BX46" i="4"/>
  <c r="BX45" i="4"/>
  <c r="BX52" i="4"/>
  <c r="BW45" i="4"/>
  <c r="BU55" i="4"/>
  <c r="BU34" i="4"/>
  <c r="BU32" i="4"/>
  <c r="CD55" i="4"/>
  <c r="CD46" i="4"/>
  <c r="CD45" i="4"/>
  <c r="BT45" i="4"/>
  <c r="BT40" i="4"/>
  <c r="BY91" i="4"/>
  <c r="BV70" i="4"/>
  <c r="BV57" i="4"/>
  <c r="CE88" i="4"/>
  <c r="CC88" i="4"/>
  <c r="CA90" i="4"/>
  <c r="CA88" i="4"/>
  <c r="CE48" i="4"/>
  <c r="BY53" i="4"/>
  <c r="BV73" i="4"/>
  <c r="CE73" i="4"/>
  <c r="CS5" i="4"/>
  <c r="CA91" i="4"/>
  <c r="BY57" i="4"/>
  <c r="CE70" i="4"/>
  <c r="CC45" i="4"/>
  <c r="CC65" i="4"/>
  <c r="CA73" i="4"/>
  <c r="BU120" i="4"/>
  <c r="BX60" i="4"/>
  <c r="BZ60" i="4"/>
  <c r="CA60" i="4"/>
  <c r="BY60" i="4"/>
  <c r="CE60" i="4"/>
  <c r="CC60" i="4"/>
  <c r="BV60" i="4"/>
  <c r="CD33" i="4"/>
  <c r="BZ33" i="4"/>
  <c r="CA33" i="4"/>
  <c r="CE33" i="4"/>
  <c r="BV33" i="4"/>
  <c r="BY33" i="4"/>
  <c r="CC33" i="4"/>
  <c r="BV59" i="4"/>
  <c r="BZ59" i="4"/>
  <c r="CA59" i="4"/>
  <c r="BY59" i="4"/>
  <c r="CC59" i="4"/>
  <c r="CE59" i="4"/>
  <c r="BT50" i="4"/>
  <c r="BZ50" i="4"/>
  <c r="CE50" i="4"/>
  <c r="BY50" i="4"/>
  <c r="CC50" i="4"/>
  <c r="CA50" i="4"/>
  <c r="CC67" i="4"/>
  <c r="BZ67" i="4"/>
  <c r="BY67" i="4"/>
  <c r="CE67" i="4"/>
  <c r="BV67" i="4"/>
  <c r="BX67" i="4"/>
  <c r="BT63" i="4"/>
  <c r="BZ63" i="4"/>
  <c r="BV63" i="4"/>
  <c r="CC63" i="4"/>
  <c r="CE63" i="4"/>
  <c r="CA63" i="4"/>
  <c r="BY63" i="4"/>
  <c r="BV50" i="4"/>
  <c r="BT62" i="4"/>
  <c r="BZ62" i="4"/>
  <c r="BV62" i="4"/>
  <c r="CE62" i="4"/>
  <c r="CA62" i="4"/>
  <c r="BY62" i="4"/>
  <c r="CA20" i="4"/>
  <c r="BZ20" i="4"/>
  <c r="CC20" i="4"/>
  <c r="CE20" i="4"/>
  <c r="BV20" i="4"/>
  <c r="BY20" i="4"/>
  <c r="CB92" i="4"/>
  <c r="BZ92" i="4"/>
  <c r="CC92" i="4"/>
  <c r="CA92" i="4"/>
  <c r="CE92" i="4"/>
  <c r="BV92" i="4"/>
  <c r="BY92" i="4"/>
  <c r="CA67" i="4"/>
  <c r="BW67" i="4"/>
  <c r="BT67" i="4"/>
  <c r="BT41" i="4"/>
  <c r="BZ41" i="4"/>
  <c r="BY41" i="4"/>
  <c r="BY17" i="4"/>
  <c r="BZ17" i="4"/>
  <c r="CE17" i="4"/>
  <c r="BV17" i="4"/>
  <c r="CA17" i="4"/>
  <c r="CC17" i="4"/>
  <c r="CE22" i="4"/>
  <c r="BZ22" i="4"/>
  <c r="BT22" i="4"/>
  <c r="CC22" i="4"/>
  <c r="BV22" i="4"/>
  <c r="CA22" i="4"/>
  <c r="BY22" i="4"/>
  <c r="CE34" i="4"/>
  <c r="BZ34" i="4"/>
  <c r="BY34" i="4"/>
  <c r="CA34" i="4"/>
  <c r="BV34" i="4"/>
  <c r="CC34" i="4"/>
  <c r="CD122" i="4"/>
  <c r="BZ122" i="4"/>
  <c r="CC122" i="4"/>
  <c r="CA122" i="4"/>
  <c r="CE122" i="4"/>
  <c r="BV122" i="4"/>
  <c r="BY122" i="4"/>
  <c r="CA41" i="4"/>
  <c r="BT120" i="4"/>
  <c r="BV19" i="4"/>
  <c r="BZ19" i="4"/>
  <c r="CC19" i="4"/>
  <c r="CA19" i="4"/>
  <c r="CE19" i="4"/>
  <c r="BV55" i="4"/>
  <c r="BZ55" i="4"/>
  <c r="BY55" i="4"/>
  <c r="CE55" i="4"/>
  <c r="CC55" i="4"/>
  <c r="CA55" i="4"/>
  <c r="BT49" i="4"/>
  <c r="BZ49" i="4"/>
  <c r="BV49" i="4"/>
  <c r="BY49" i="4"/>
  <c r="CC49" i="4"/>
  <c r="CA49" i="4"/>
  <c r="CE49" i="4"/>
  <c r="CE32" i="4"/>
  <c r="BZ32" i="4"/>
  <c r="CC32" i="4"/>
  <c r="BY32" i="4"/>
  <c r="CA32" i="4"/>
  <c r="BT33" i="4"/>
  <c r="CE21" i="4"/>
  <c r="BZ21" i="4"/>
  <c r="CA21" i="4"/>
  <c r="BY21" i="4"/>
  <c r="CC21" i="4"/>
  <c r="BV21" i="4"/>
  <c r="CD58" i="4"/>
  <c r="BZ58" i="4"/>
  <c r="CA58" i="4"/>
  <c r="CC58" i="4"/>
  <c r="CE58" i="4"/>
  <c r="BY58" i="4"/>
  <c r="BV58" i="4"/>
  <c r="BV41" i="4"/>
  <c r="BU67" i="4"/>
  <c r="CD120" i="4"/>
  <c r="CE69" i="4"/>
  <c r="BZ69" i="4"/>
  <c r="CA69" i="4"/>
  <c r="BY69" i="4"/>
  <c r="CC69" i="4"/>
  <c r="CC62" i="4"/>
  <c r="BU36" i="4"/>
  <c r="BZ36" i="4"/>
  <c r="CA36" i="4"/>
  <c r="CC36" i="4"/>
  <c r="BV36" i="4"/>
  <c r="BY36" i="4"/>
  <c r="CE36" i="4"/>
  <c r="CE39" i="4"/>
  <c r="BZ39" i="4"/>
  <c r="BY39" i="4"/>
  <c r="BV39" i="4"/>
  <c r="CC39" i="4"/>
  <c r="CC41" i="4"/>
  <c r="CA39" i="4"/>
  <c r="CE120" i="4"/>
  <c r="BZ120" i="4"/>
  <c r="BY120" i="4"/>
  <c r="BV120" i="4"/>
  <c r="CC120" i="4"/>
  <c r="CA120" i="4"/>
  <c r="CE123" i="4"/>
  <c r="BZ123" i="4"/>
  <c r="CC123" i="4"/>
  <c r="CA123" i="4"/>
  <c r="BV123" i="4"/>
  <c r="BY123" i="4"/>
  <c r="BY54" i="4"/>
  <c r="BZ54" i="4"/>
  <c r="CE54" i="4"/>
  <c r="CC54" i="4"/>
  <c r="BV40" i="4"/>
  <c r="BZ40" i="4"/>
  <c r="CC40" i="4"/>
  <c r="CA40" i="4"/>
  <c r="BY40" i="4"/>
  <c r="BY18" i="4"/>
  <c r="BZ18" i="4"/>
  <c r="CE18" i="4"/>
  <c r="CA18" i="4"/>
  <c r="BV18" i="4"/>
  <c r="CC18" i="4"/>
  <c r="CA54" i="4"/>
  <c r="CB52" i="4"/>
  <c r="BZ52" i="4"/>
  <c r="BY61" i="4"/>
  <c r="BV91" i="4"/>
  <c r="CE65" i="4"/>
  <c r="CC47" i="4"/>
  <c r="CA47" i="4"/>
  <c r="CA52" i="4"/>
  <c r="BY46" i="4"/>
  <c r="BV45" i="4"/>
  <c r="CC90" i="4"/>
  <c r="CE44" i="4"/>
  <c r="CE52" i="4"/>
  <c r="CC64" i="4"/>
  <c r="CA51" i="4"/>
  <c r="CE121" i="4"/>
  <c r="BZ121" i="4"/>
  <c r="CC51" i="4"/>
  <c r="BU46" i="4"/>
  <c r="BZ46" i="4"/>
  <c r="CD73" i="4"/>
  <c r="BZ73" i="4"/>
  <c r="BU47" i="4"/>
  <c r="BZ47" i="4"/>
  <c r="BX56" i="4"/>
  <c r="BZ56" i="4"/>
  <c r="CD44" i="4"/>
  <c r="BZ44" i="4"/>
  <c r="BT53" i="4"/>
  <c r="BY121" i="4"/>
  <c r="BV47" i="4"/>
  <c r="BV56" i="4"/>
  <c r="BV88" i="4"/>
  <c r="CE64" i="4"/>
  <c r="CC56" i="4"/>
  <c r="CC44" i="4"/>
  <c r="CC57" i="4"/>
  <c r="CC121" i="4"/>
  <c r="CC53" i="4"/>
  <c r="CA45" i="4"/>
  <c r="CQ5" i="4"/>
  <c r="CE90" i="4"/>
  <c r="BZ90" i="4"/>
  <c r="BT61" i="4"/>
  <c r="BZ61" i="4"/>
  <c r="BY44" i="4"/>
  <c r="BV46" i="4"/>
  <c r="BV48" i="4"/>
  <c r="BV65" i="4"/>
  <c r="CE56" i="4"/>
  <c r="CE45" i="4"/>
  <c r="CE57" i="4"/>
  <c r="CC46" i="4"/>
  <c r="CC48" i="4"/>
  <c r="CA56" i="4"/>
  <c r="CD70" i="4"/>
  <c r="BZ70" i="4"/>
  <c r="CP5" i="4"/>
  <c r="BY73" i="4"/>
  <c r="BY56" i="4"/>
  <c r="BY65" i="4"/>
  <c r="BY45" i="4"/>
  <c r="CO5" i="4"/>
  <c r="BV61" i="4"/>
  <c r="BV51" i="4"/>
  <c r="CE47" i="4"/>
  <c r="CE61" i="4"/>
  <c r="CC70" i="4"/>
  <c r="CA53" i="4"/>
  <c r="BY64" i="4"/>
  <c r="BZ64" i="4"/>
  <c r="BY52" i="4"/>
  <c r="CD57" i="4"/>
  <c r="BZ57" i="4"/>
  <c r="CE91" i="4"/>
  <c r="BZ91" i="4"/>
  <c r="BT88" i="4"/>
  <c r="BZ88" i="4"/>
  <c r="BV64" i="4"/>
  <c r="BV121" i="4"/>
  <c r="CE46" i="4"/>
  <c r="CC61" i="4"/>
  <c r="CA70" i="4"/>
  <c r="CA44" i="4"/>
  <c r="CA48" i="4"/>
  <c r="BZ48" i="4"/>
  <c r="CE53" i="4"/>
  <c r="BZ53" i="4"/>
  <c r="BY51" i="4"/>
  <c r="BY90" i="4"/>
  <c r="CE51" i="4"/>
  <c r="CC52" i="4"/>
  <c r="CA65" i="4"/>
  <c r="BV30" i="4"/>
  <c r="BX26" i="4"/>
  <c r="BX23" i="4"/>
  <c r="CC23" i="4"/>
  <c r="BY23" i="4"/>
  <c r="BV23" i="4"/>
  <c r="CE23" i="4"/>
  <c r="BY28" i="4"/>
  <c r="BV28" i="4"/>
  <c r="BW28" i="4"/>
  <c r="BU30" i="4"/>
  <c r="BY15" i="4"/>
  <c r="BW30" i="4"/>
  <c r="CC26" i="4"/>
  <c r="BY26" i="4"/>
  <c r="BY30" i="4"/>
  <c r="CE30" i="4"/>
  <c r="BX30" i="4"/>
  <c r="CC30" i="4"/>
  <c r="BW23" i="4"/>
  <c r="BX15" i="4"/>
  <c r="CC15" i="4"/>
  <c r="CC25" i="4"/>
  <c r="BX12" i="4"/>
  <c r="BX14" i="4"/>
  <c r="BY14" i="4"/>
  <c r="BY12" i="4"/>
  <c r="BY29" i="4"/>
  <c r="BY25" i="4"/>
  <c r="BX24" i="4"/>
  <c r="BV29" i="4"/>
  <c r="BV25" i="4"/>
  <c r="CC24" i="4"/>
  <c r="CE25" i="4"/>
  <c r="BY13" i="4"/>
  <c r="BV24" i="4"/>
  <c r="BV14" i="4"/>
  <c r="CC14" i="4"/>
  <c r="BU14" i="4"/>
  <c r="BT14" i="4"/>
  <c r="BW14" i="4"/>
  <c r="CD12" i="4"/>
  <c r="CD25" i="4"/>
  <c r="BW12" i="4"/>
  <c r="BV12" i="4"/>
  <c r="BU12" i="4"/>
  <c r="BU24" i="4"/>
  <c r="CE29" i="4"/>
  <c r="CD29" i="4"/>
  <c r="CD30" i="4"/>
  <c r="BT27" i="4"/>
  <c r="BT30" i="4"/>
  <c r="CD14" i="4"/>
  <c r="BT26" i="4"/>
  <c r="BT29" i="4"/>
  <c r="BV117" i="4"/>
  <c r="CA14" i="4"/>
  <c r="BY117" i="4"/>
  <c r="BW117" i="4"/>
  <c r="CB117" i="4"/>
  <c r="BX117" i="4"/>
  <c r="CC117" i="4"/>
  <c r="CA117" i="4"/>
  <c r="CB25" i="4"/>
  <c r="CA30" i="4"/>
  <c r="CD117" i="4"/>
  <c r="BU8" i="4"/>
  <c r="BZ8" i="4"/>
  <c r="BX8" i="4"/>
  <c r="CE8" i="4"/>
  <c r="CC8" i="4"/>
  <c r="CD8" i="4"/>
  <c r="BX27" i="4"/>
  <c r="BV8" i="4"/>
  <c r="CA8" i="4"/>
  <c r="BY8" i="4"/>
  <c r="BW8" i="4"/>
  <c r="BU16" i="4"/>
  <c r="BZ16" i="4"/>
  <c r="BT16" i="4"/>
  <c r="CE16" i="4"/>
  <c r="CA16" i="4"/>
  <c r="CC16" i="4"/>
  <c r="BX16" i="4"/>
  <c r="CB16" i="4"/>
  <c r="CD16" i="4"/>
  <c r="BY16" i="4"/>
  <c r="BW16" i="4"/>
  <c r="CC38" i="4"/>
  <c r="BT8" i="4"/>
  <c r="BW27" i="4"/>
  <c r="BZ27" i="4"/>
  <c r="CD27" i="4"/>
  <c r="BY27" i="4"/>
  <c r="BV27" i="4"/>
  <c r="CB27" i="4"/>
  <c r="CC27" i="4"/>
  <c r="CE27" i="4"/>
  <c r="CE38" i="4"/>
  <c r="BZ38" i="4"/>
  <c r="BV38" i="4"/>
  <c r="BW38" i="4"/>
  <c r="BX38" i="4"/>
  <c r="CD38" i="4"/>
  <c r="BT38" i="4"/>
  <c r="CB38" i="4"/>
  <c r="BY38" i="4"/>
  <c r="BU38" i="4"/>
  <c r="CE13" i="4"/>
  <c r="BZ13" i="4"/>
  <c r="CA13" i="4"/>
  <c r="CD13" i="4"/>
  <c r="BU13" i="4"/>
  <c r="BV13" i="4"/>
  <c r="CB13" i="4"/>
  <c r="BT13" i="4"/>
  <c r="BX13" i="4"/>
  <c r="CC13" i="4"/>
  <c r="CA27" i="4"/>
  <c r="BV16" i="4"/>
  <c r="CC31" i="4"/>
  <c r="BZ31" i="4"/>
  <c r="BT31" i="4"/>
  <c r="CA31" i="4"/>
  <c r="BV31" i="4"/>
  <c r="BX31" i="4"/>
  <c r="CE31" i="4"/>
  <c r="BY31" i="4"/>
  <c r="BW31" i="4"/>
  <c r="CB31" i="4"/>
  <c r="CD31" i="4"/>
  <c r="BT15" i="4"/>
  <c r="BU26" i="4"/>
  <c r="BZ26" i="4"/>
  <c r="CD26" i="4"/>
  <c r="BV26" i="4"/>
  <c r="CA26" i="4"/>
  <c r="BW26" i="4"/>
  <c r="CE26" i="4"/>
  <c r="CA15" i="4"/>
  <c r="BZ15" i="4"/>
  <c r="BW15" i="4"/>
  <c r="CD15" i="4"/>
  <c r="CE15" i="4"/>
  <c r="BU15" i="4"/>
  <c r="BV15" i="4"/>
  <c r="BU28" i="4"/>
  <c r="BZ28" i="4"/>
  <c r="CC28" i="4"/>
  <c r="CB28" i="4"/>
  <c r="CD28" i="4"/>
  <c r="BX28" i="4"/>
  <c r="CA28" i="4"/>
  <c r="CE28" i="4"/>
  <c r="BY24" i="4"/>
  <c r="BZ24" i="4"/>
  <c r="BU29" i="4"/>
  <c r="BZ29" i="4"/>
  <c r="BT25" i="4"/>
  <c r="BZ25" i="4"/>
  <c r="CB24" i="4"/>
  <c r="CA29" i="4"/>
  <c r="BW24" i="4"/>
  <c r="BW29" i="4"/>
  <c r="CC29" i="4"/>
  <c r="CE12" i="4"/>
  <c r="BZ12" i="4"/>
  <c r="CE117" i="4"/>
  <c r="BZ117" i="4"/>
  <c r="CB30" i="4"/>
  <c r="CA12" i="4"/>
  <c r="BT23" i="4"/>
  <c r="BZ23" i="4"/>
  <c r="BX29" i="4"/>
  <c r="BW25" i="4"/>
  <c r="BU25" i="4"/>
  <c r="CE14" i="4"/>
  <c r="BZ14" i="4"/>
  <c r="BT24" i="4"/>
  <c r="BX25" i="4"/>
  <c r="BU117" i="4"/>
  <c r="BU23" i="4"/>
  <c r="CE24" i="4"/>
  <c r="BT12" i="4"/>
  <c r="CB12" i="4"/>
  <c r="CB23" i="4"/>
  <c r="CA24" i="4"/>
  <c r="CA23" i="4"/>
  <c r="CF108" i="4" l="1"/>
  <c r="CG108" i="4" s="1"/>
  <c r="CU107" i="4"/>
  <c r="CV107" i="4"/>
  <c r="CW107" i="4" s="1"/>
  <c r="CU44" i="4"/>
  <c r="CV44" i="4"/>
  <c r="CW44" i="4" s="1"/>
  <c r="CU70" i="4"/>
  <c r="CV70" i="4"/>
  <c r="CW70" i="4" s="1"/>
  <c r="CV24" i="4"/>
  <c r="CW24" i="4" s="1"/>
  <c r="CU24" i="4"/>
  <c r="CV110" i="4"/>
  <c r="CW110" i="4" s="1"/>
  <c r="CU50" i="4"/>
  <c r="CV113" i="4"/>
  <c r="CW113" i="4" s="1"/>
  <c r="CU51" i="4"/>
  <c r="CV51" i="4"/>
  <c r="CW51" i="4" s="1"/>
  <c r="CV65" i="4"/>
  <c r="CW65" i="4" s="1"/>
  <c r="CU65" i="4"/>
  <c r="CU62" i="4"/>
  <c r="CU109" i="4"/>
  <c r="CU54" i="4"/>
  <c r="CU80" i="4"/>
  <c r="CV21" i="4"/>
  <c r="CW21" i="4" s="1"/>
  <c r="CH85" i="4"/>
  <c r="CU112" i="4"/>
  <c r="CH107" i="4"/>
  <c r="CV121" i="4"/>
  <c r="CW121" i="4" s="1"/>
  <c r="CU90" i="4"/>
  <c r="CU118" i="4"/>
  <c r="CV45" i="4"/>
  <c r="CW45" i="4" s="1"/>
  <c r="CU40" i="4"/>
  <c r="CU31" i="4"/>
  <c r="CH104" i="4"/>
  <c r="CV37" i="4"/>
  <c r="CW37" i="4" s="1"/>
  <c r="CU37" i="4"/>
  <c r="CV30" i="4"/>
  <c r="CW30" i="4" s="1"/>
  <c r="CU30" i="4"/>
  <c r="CV61" i="4"/>
  <c r="CW61" i="4" s="1"/>
  <c r="CU61" i="4"/>
  <c r="CU20" i="4"/>
  <c r="CU28" i="4"/>
  <c r="CV28" i="4"/>
  <c r="CW28" i="4" s="1"/>
  <c r="CV8" i="4"/>
  <c r="CW8" i="4" s="1"/>
  <c r="CU8" i="4"/>
  <c r="CH81" i="4"/>
  <c r="CV111" i="4"/>
  <c r="CW111" i="4" s="1"/>
  <c r="CU29" i="4"/>
  <c r="CH80" i="4"/>
  <c r="CV104" i="4"/>
  <c r="CW104" i="4" s="1"/>
  <c r="CH37" i="4"/>
  <c r="CV16" i="4"/>
  <c r="CW16" i="4" s="1"/>
  <c r="CV39" i="4"/>
  <c r="CW39" i="4" s="1"/>
  <c r="CU39" i="4"/>
  <c r="CU52" i="4"/>
  <c r="CV52" i="4"/>
  <c r="CW52" i="4" s="1"/>
  <c r="CU23" i="4"/>
  <c r="CV23" i="4"/>
  <c r="CW23" i="4" s="1"/>
  <c r="CV38" i="4"/>
  <c r="CW38" i="4" s="1"/>
  <c r="CU38" i="4"/>
  <c r="CV106" i="4"/>
  <c r="CW106" i="4" s="1"/>
  <c r="CU106" i="4"/>
  <c r="CV49" i="4"/>
  <c r="CW49" i="4" s="1"/>
  <c r="CV33" i="4"/>
  <c r="CW33" i="4" s="1"/>
  <c r="CU33" i="4"/>
  <c r="CU88" i="4"/>
  <c r="CV92" i="4"/>
  <c r="CW92" i="4" s="1"/>
  <c r="CU73" i="4"/>
  <c r="CV25" i="4"/>
  <c r="CW25" i="4" s="1"/>
  <c r="CV18" i="4"/>
  <c r="CW18" i="4" s="1"/>
  <c r="CU18" i="4"/>
  <c r="CU22" i="4"/>
  <c r="CU122" i="4"/>
  <c r="CH108" i="4"/>
  <c r="CU27" i="4"/>
  <c r="CV27" i="4"/>
  <c r="CW27" i="4" s="1"/>
  <c r="CF79" i="4"/>
  <c r="CG79" i="4" s="1"/>
  <c r="CV26" i="4"/>
  <c r="CW26" i="4" s="1"/>
  <c r="CU26" i="4"/>
  <c r="CV15" i="4"/>
  <c r="CW15" i="4" s="1"/>
  <c r="CU15" i="4"/>
  <c r="CH105" i="4"/>
  <c r="CV64" i="4"/>
  <c r="CW64" i="4" s="1"/>
  <c r="CU64" i="4"/>
  <c r="CV36" i="4"/>
  <c r="CW36" i="4" s="1"/>
  <c r="CU57" i="4"/>
  <c r="CV57" i="4"/>
  <c r="CW57" i="4" s="1"/>
  <c r="CV41" i="4"/>
  <c r="CW41" i="4" s="1"/>
  <c r="CU41" i="4"/>
  <c r="CU63" i="4"/>
  <c r="CU116" i="4"/>
  <c r="CU53" i="4"/>
  <c r="CV13" i="4"/>
  <c r="CW13" i="4" s="1"/>
  <c r="CV115" i="4"/>
  <c r="CW115" i="4" s="1"/>
  <c r="CU117" i="4"/>
  <c r="CU55" i="4"/>
  <c r="CV60" i="4"/>
  <c r="CW60" i="4" s="1"/>
  <c r="CU69" i="4"/>
  <c r="CV69" i="4"/>
  <c r="CW69" i="4" s="1"/>
  <c r="CU17" i="4"/>
  <c r="CV17" i="4"/>
  <c r="CW17" i="4" s="1"/>
  <c r="CU32" i="4"/>
  <c r="CU83" i="4"/>
  <c r="CH84" i="4"/>
  <c r="CV56" i="4"/>
  <c r="CW56" i="4" s="1"/>
  <c r="CU114" i="4"/>
  <c r="CU79" i="4"/>
  <c r="CV84" i="4"/>
  <c r="CW84" i="4" s="1"/>
  <c r="CV47" i="4"/>
  <c r="CW47" i="4" s="1"/>
  <c r="CU47" i="4"/>
  <c r="CU81" i="4"/>
  <c r="CU34" i="4"/>
  <c r="CV67" i="4"/>
  <c r="CW67" i="4" s="1"/>
  <c r="CV19" i="4"/>
  <c r="CW19" i="4" s="1"/>
  <c r="CU19" i="4"/>
  <c r="CU46" i="4"/>
  <c r="CV46" i="4"/>
  <c r="CW46" i="4" s="1"/>
  <c r="CH106" i="4"/>
  <c r="CH83" i="4"/>
  <c r="CF117" i="4"/>
  <c r="CG117" i="4" s="1"/>
  <c r="CF28" i="4"/>
  <c r="CG28" i="4" s="1"/>
  <c r="CF123" i="4"/>
  <c r="CG123" i="4" s="1"/>
  <c r="CV5" i="4"/>
  <c r="CW5" i="4" s="1"/>
  <c r="CF122" i="4"/>
  <c r="CG122" i="4" s="1"/>
  <c r="CF17" i="4"/>
  <c r="CG17" i="4" s="1"/>
  <c r="CH14" i="4"/>
  <c r="CH51" i="4"/>
  <c r="CF31" i="4"/>
  <c r="CG31" i="4" s="1"/>
  <c r="CF33" i="4"/>
  <c r="CG33" i="4" s="1"/>
  <c r="CH41" i="4"/>
  <c r="CH40" i="4"/>
  <c r="CH57" i="4"/>
  <c r="CH18" i="4"/>
  <c r="CH36" i="4"/>
  <c r="CH49" i="4"/>
  <c r="CH50" i="4"/>
  <c r="CF88" i="4"/>
  <c r="CG88" i="4" s="1"/>
  <c r="CF53" i="4"/>
  <c r="CG53" i="4" s="1"/>
  <c r="CF54" i="4"/>
  <c r="CG54" i="4" s="1"/>
  <c r="CF24" i="4"/>
  <c r="CG24" i="4" s="1"/>
  <c r="CF12" i="4"/>
  <c r="CG12" i="4" s="1"/>
  <c r="CF30" i="4"/>
  <c r="CG30" i="4" s="1"/>
  <c r="CF22" i="4"/>
  <c r="CG22" i="4" s="1"/>
  <c r="CF69" i="4"/>
  <c r="CG69" i="4" s="1"/>
  <c r="CH15" i="4"/>
  <c r="CF38" i="4"/>
  <c r="CG38" i="4" s="1"/>
  <c r="CF8" i="4"/>
  <c r="CG8" i="4" s="1"/>
  <c r="CH8" i="4"/>
  <c r="CH25" i="4"/>
  <c r="CH53" i="4"/>
  <c r="CH91" i="4"/>
  <c r="CH61" i="4"/>
  <c r="CH45" i="4"/>
  <c r="CH54" i="4"/>
  <c r="CH69" i="4"/>
  <c r="CH58" i="4"/>
  <c r="CH55" i="4"/>
  <c r="CH19" i="4"/>
  <c r="CH20" i="4"/>
  <c r="CH67" i="4"/>
  <c r="CF39" i="4"/>
  <c r="CG39" i="4" s="1"/>
  <c r="CF56" i="4"/>
  <c r="CG56" i="4" s="1"/>
  <c r="CF70" i="4"/>
  <c r="CG70" i="4" s="1"/>
  <c r="CF59" i="4"/>
  <c r="CG59" i="4" s="1"/>
  <c r="CH31" i="4"/>
  <c r="CH13" i="4"/>
  <c r="CH27" i="4"/>
  <c r="CH44" i="4"/>
  <c r="CH34" i="4"/>
  <c r="CH33" i="4"/>
  <c r="CH73" i="4"/>
  <c r="CH48" i="4"/>
  <c r="CH88" i="4"/>
  <c r="CH12" i="4"/>
  <c r="CH28" i="4"/>
  <c r="CH26" i="4"/>
  <c r="CH38" i="4"/>
  <c r="CH29" i="4"/>
  <c r="CH46" i="4"/>
  <c r="CH52" i="4"/>
  <c r="CH65" i="4"/>
  <c r="CH39" i="4"/>
  <c r="CH21" i="4"/>
  <c r="CH32" i="4"/>
  <c r="CH22" i="4"/>
  <c r="CH17" i="4"/>
  <c r="CH62" i="4"/>
  <c r="CH59" i="4"/>
  <c r="CH70" i="4"/>
  <c r="CF55" i="4"/>
  <c r="CG55" i="4" s="1"/>
  <c r="CH24" i="4"/>
  <c r="CH16" i="4"/>
  <c r="CH30" i="4"/>
  <c r="CH23" i="4"/>
  <c r="CH47" i="4"/>
  <c r="CH56" i="4"/>
  <c r="CH90" i="4"/>
  <c r="CH64" i="4"/>
  <c r="CF36" i="4"/>
  <c r="CG36" i="4" s="1"/>
  <c r="CH92" i="4"/>
  <c r="CH63" i="4"/>
  <c r="CH60" i="4"/>
  <c r="CF34" i="4"/>
  <c r="CG34" i="4" s="1"/>
  <c r="CF20" i="4"/>
  <c r="CG20" i="4" s="1"/>
  <c r="CF25" i="4"/>
  <c r="CG25" i="4" s="1"/>
  <c r="CF15" i="4"/>
  <c r="CG15" i="4" s="1"/>
  <c r="CF27" i="4"/>
  <c r="CG27" i="4" s="1"/>
  <c r="CF49" i="4"/>
  <c r="CG49" i="4" s="1"/>
  <c r="CF120" i="4"/>
  <c r="CG120" i="4" s="1"/>
  <c r="CF62" i="4"/>
  <c r="CG62" i="4" s="1"/>
  <c r="CF63" i="4"/>
  <c r="CG63" i="4" s="1"/>
  <c r="CF50" i="4"/>
  <c r="CG50" i="4" s="1"/>
  <c r="CF19" i="4"/>
  <c r="CG19" i="4" s="1"/>
  <c r="CF73" i="4"/>
  <c r="CG73" i="4" s="1"/>
  <c r="CF46" i="4"/>
  <c r="CG46" i="4" s="1"/>
  <c r="CF58" i="4"/>
  <c r="CG58" i="4" s="1"/>
  <c r="CF92" i="4"/>
  <c r="CG92" i="4" s="1"/>
  <c r="CF23" i="4"/>
  <c r="CG23" i="4" s="1"/>
  <c r="CF13" i="4"/>
  <c r="CG13" i="4" s="1"/>
  <c r="CF29" i="4"/>
  <c r="CG29" i="4" s="1"/>
  <c r="CF67" i="4"/>
  <c r="CG67" i="4" s="1"/>
  <c r="CF45" i="4"/>
  <c r="CG45" i="4" s="1"/>
  <c r="CF32" i="4"/>
  <c r="CG32" i="4" s="1"/>
  <c r="CF65" i="4"/>
  <c r="CG65" i="4" s="1"/>
  <c r="CF60" i="4"/>
  <c r="CG60" i="4" s="1"/>
  <c r="CF44" i="4"/>
  <c r="CG44" i="4" s="1"/>
  <c r="CF52" i="4"/>
  <c r="CG52" i="4" s="1"/>
  <c r="CF90" i="4"/>
  <c r="CG90" i="4" s="1"/>
  <c r="CF64" i="4"/>
  <c r="CG64" i="4" s="1"/>
  <c r="CF26" i="4"/>
  <c r="CG26" i="4" s="1"/>
  <c r="CF61" i="4"/>
  <c r="CG61" i="4" s="1"/>
  <c r="CF41" i="4"/>
  <c r="CG41" i="4" s="1"/>
  <c r="CF40" i="4"/>
  <c r="CG40" i="4" s="1"/>
  <c r="CF91" i="4"/>
  <c r="CG91" i="4" s="1"/>
  <c r="CF121" i="4"/>
  <c r="CG121" i="4" s="1"/>
  <c r="CF51" i="4"/>
  <c r="CG51" i="4" s="1"/>
  <c r="CF57" i="4"/>
  <c r="CG57" i="4" s="1"/>
  <c r="CF48" i="4"/>
  <c r="CG48" i="4" s="1"/>
  <c r="CF16" i="4"/>
  <c r="CG16" i="4" s="1"/>
  <c r="CF14" i="4"/>
  <c r="CG14" i="4" s="1"/>
  <c r="CF21" i="4"/>
  <c r="CG21" i="4" s="1"/>
  <c r="CF47" i="4"/>
  <c r="CG47" i="4" s="1"/>
  <c r="CF18" i="4"/>
  <c r="CG18" i="4" s="1"/>
  <c r="CU5" i="4"/>
  <c r="DI31" i="4"/>
  <c r="DI27" i="4"/>
  <c r="DI28" i="4" l="1"/>
  <c r="DI14" i="4"/>
  <c r="DI8" i="4"/>
  <c r="DI26" i="4"/>
  <c r="DI38" i="4"/>
  <c r="DI25" i="4"/>
  <c r="DI24" i="4"/>
  <c r="DI13" i="4"/>
  <c r="DI12" i="4"/>
  <c r="DI29" i="4"/>
  <c r="DI15" i="4"/>
  <c r="DI30" i="4"/>
  <c r="DI16" i="4"/>
  <c r="DI23" i="4"/>
  <c r="AT7" i="4"/>
  <c r="AY7" i="4"/>
  <c r="AV7" i="4"/>
  <c r="AR7" i="4"/>
  <c r="AS7" i="4"/>
  <c r="AX7" i="4"/>
  <c r="BD7" i="4"/>
  <c r="AZ7" i="4"/>
  <c r="AW7" i="4"/>
  <c r="BC7" i="4"/>
  <c r="BA7" i="4"/>
  <c r="BP7" i="4" s="1"/>
  <c r="AU7" i="4"/>
  <c r="AS9" i="4"/>
  <c r="AX9" i="4"/>
  <c r="BM9" i="4" s="1"/>
  <c r="BD9" i="4"/>
  <c r="AW9" i="4"/>
  <c r="BC9" i="4"/>
  <c r="AR9" i="4"/>
  <c r="BA9" i="4"/>
  <c r="AU9" i="4"/>
  <c r="AV9" i="4"/>
  <c r="AT9" i="4"/>
  <c r="AY9" i="4"/>
  <c r="AZ9" i="4"/>
  <c r="BC6" i="4"/>
  <c r="AV6" i="4"/>
  <c r="AT6" i="4"/>
  <c r="BA6" i="4"/>
  <c r="AZ6" i="4"/>
  <c r="AR6" i="4"/>
  <c r="AY6" i="4"/>
  <c r="AW6" i="4"/>
  <c r="BD6" i="4"/>
  <c r="AU6" i="4"/>
  <c r="AS6" i="4"/>
  <c r="AX6" i="4"/>
  <c r="BM6" i="4" s="1"/>
  <c r="AR10" i="4"/>
  <c r="AY10" i="4"/>
  <c r="AW10" i="4"/>
  <c r="AV10" i="4"/>
  <c r="AT10" i="4"/>
  <c r="BC10" i="4"/>
  <c r="AU10" i="4"/>
  <c r="AS10" i="4"/>
  <c r="AZ10" i="4"/>
  <c r="AX10" i="4"/>
  <c r="BM10" i="4" s="1"/>
  <c r="BD10" i="4"/>
  <c r="BA10" i="4"/>
  <c r="BN6" i="4" l="1"/>
  <c r="BP9" i="4"/>
  <c r="BJ7" i="4"/>
  <c r="BF7" i="4"/>
  <c r="CI7" i="4"/>
  <c r="CT7" i="4" s="1"/>
  <c r="BG6" i="4"/>
  <c r="BH6" i="4"/>
  <c r="BJ9" i="4"/>
  <c r="BK7" i="4"/>
  <c r="BG10" i="4"/>
  <c r="BK10" i="4"/>
  <c r="BP6" i="4"/>
  <c r="BO9" i="4"/>
  <c r="BL9" i="4"/>
  <c r="BO7" i="4"/>
  <c r="BO10" i="4"/>
  <c r="BH10" i="4"/>
  <c r="BF10" i="4"/>
  <c r="CI10" i="4"/>
  <c r="CQ10" i="4" s="1"/>
  <c r="BJ6" i="4"/>
  <c r="BO6" i="4"/>
  <c r="BI6" i="4"/>
  <c r="BK9" i="4"/>
  <c r="BI9" i="4"/>
  <c r="BG9" i="4"/>
  <c r="BL7" i="4"/>
  <c r="BG7" i="4"/>
  <c r="BH7" i="4"/>
  <c r="BJ10" i="4"/>
  <c r="BL10" i="4"/>
  <c r="BN9" i="4"/>
  <c r="BP10" i="4"/>
  <c r="BL6" i="4"/>
  <c r="BI10" i="4"/>
  <c r="BN10" i="4"/>
  <c r="BF6" i="4"/>
  <c r="CI6" i="4"/>
  <c r="CQ6" i="4" s="1"/>
  <c r="BK6" i="4"/>
  <c r="BH9" i="4"/>
  <c r="BF9" i="4"/>
  <c r="CI9" i="4"/>
  <c r="CQ9" i="4" s="1"/>
  <c r="BI7" i="4"/>
  <c r="BM7" i="4"/>
  <c r="BN7" i="4"/>
  <c r="AC95" i="4"/>
  <c r="AC94" i="4"/>
  <c r="BS7" i="4"/>
  <c r="CA7" i="4" s="1"/>
  <c r="BB7" i="4"/>
  <c r="BE7" i="4" s="1"/>
  <c r="BB10" i="4"/>
  <c r="BE10" i="4" s="1"/>
  <c r="BS10" i="4"/>
  <c r="CA10" i="4" s="1"/>
  <c r="BS6" i="4"/>
  <c r="CB6" i="4" s="1"/>
  <c r="BB6" i="4"/>
  <c r="BE6" i="4" s="1"/>
  <c r="BS9" i="4"/>
  <c r="BB9" i="4"/>
  <c r="BE9" i="4" s="1"/>
  <c r="R379" i="1"/>
  <c r="R373" i="1"/>
  <c r="R361" i="1"/>
  <c r="R355" i="1"/>
  <c r="R338" i="1"/>
  <c r="R332" i="1"/>
  <c r="R326" i="1"/>
  <c r="R318" i="1"/>
  <c r="R312" i="1"/>
  <c r="R304" i="1"/>
  <c r="R292" i="1"/>
  <c r="P285" i="1"/>
  <c r="R284" i="1"/>
  <c r="R276" i="1"/>
  <c r="R269" i="1"/>
  <c r="R258" i="1"/>
  <c r="P379" i="1"/>
  <c r="Q367" i="1"/>
  <c r="P367" i="1"/>
  <c r="Q318" i="1"/>
  <c r="P318" i="1"/>
  <c r="P304" i="1"/>
  <c r="R244" i="1"/>
  <c r="R238" i="1"/>
  <c r="R232" i="1"/>
  <c r="R226" i="1"/>
  <c r="R219" i="1"/>
  <c r="R207" i="1"/>
  <c r="R213" i="1"/>
  <c r="R201" i="1"/>
  <c r="R194" i="1"/>
  <c r="R188" i="1"/>
  <c r="P207" i="1"/>
  <c r="CQ7" i="4" l="1"/>
  <c r="CL7" i="4"/>
  <c r="BQ10" i="4"/>
  <c r="CR7" i="4"/>
  <c r="CM7" i="4"/>
  <c r="CO6" i="4"/>
  <c r="CP7" i="4"/>
  <c r="CL6" i="4"/>
  <c r="CR10" i="4"/>
  <c r="CP10" i="4"/>
  <c r="CT10" i="4"/>
  <c r="BQ7" i="4"/>
  <c r="CS7" i="4"/>
  <c r="CO7" i="4"/>
  <c r="BQ9" i="4"/>
  <c r="CJ7" i="4"/>
  <c r="CM10" i="4"/>
  <c r="CN10" i="4"/>
  <c r="CK7" i="4"/>
  <c r="CL10" i="4"/>
  <c r="CO10" i="4"/>
  <c r="CN7" i="4"/>
  <c r="DL6" i="4"/>
  <c r="DM6" i="4" s="1"/>
  <c r="CS9" i="4"/>
  <c r="BQ6" i="4"/>
  <c r="CJ9" i="4"/>
  <c r="CM9" i="4"/>
  <c r="CM6" i="4"/>
  <c r="CN6" i="4"/>
  <c r="DL10" i="4"/>
  <c r="DM10" i="4" s="1"/>
  <c r="CR6" i="4"/>
  <c r="DL7" i="4"/>
  <c r="DM7" i="4" s="1"/>
  <c r="CL9" i="4"/>
  <c r="CJ6" i="4"/>
  <c r="CS10" i="4"/>
  <c r="CP9" i="4"/>
  <c r="CT6" i="4"/>
  <c r="CK10" i="4"/>
  <c r="CN9" i="4"/>
  <c r="CK6" i="4"/>
  <c r="DL9" i="4"/>
  <c r="DM9" i="4" s="1"/>
  <c r="CP6" i="4"/>
  <c r="CR9" i="4"/>
  <c r="CK9" i="4"/>
  <c r="CO9" i="4"/>
  <c r="CS6" i="4"/>
  <c r="CJ10" i="4"/>
  <c r="CT9" i="4"/>
  <c r="AB95" i="4"/>
  <c r="AB94" i="4"/>
  <c r="BW7" i="4"/>
  <c r="BZ7" i="4"/>
  <c r="BY7" i="4"/>
  <c r="CC10" i="4"/>
  <c r="CE6" i="4"/>
  <c r="BX7" i="4"/>
  <c r="BY6" i="4"/>
  <c r="CD6" i="4"/>
  <c r="BX10" i="4"/>
  <c r="BU6" i="4"/>
  <c r="BU7" i="4"/>
  <c r="CC7" i="4"/>
  <c r="BT6" i="4"/>
  <c r="BV7" i="4"/>
  <c r="CB10" i="4"/>
  <c r="BY10" i="4"/>
  <c r="CC9" i="4"/>
  <c r="CE9" i="4"/>
  <c r="CD10" i="4"/>
  <c r="CE10" i="4"/>
  <c r="CB7" i="4"/>
  <c r="CE7" i="4"/>
  <c r="BV9" i="4"/>
  <c r="BT9" i="4"/>
  <c r="BU9" i="4"/>
  <c r="BX6" i="4"/>
  <c r="CB9" i="4"/>
  <c r="BZ10" i="4"/>
  <c r="BW9" i="4"/>
  <c r="CA9" i="4"/>
  <c r="BV6" i="4"/>
  <c r="BW10" i="4"/>
  <c r="BV10" i="4"/>
  <c r="BT10" i="4"/>
  <c r="CC6" i="4"/>
  <c r="CD7" i="4"/>
  <c r="CD9" i="4"/>
  <c r="CA6" i="4"/>
  <c r="BT7" i="4"/>
  <c r="BY9" i="4"/>
  <c r="BZ9" i="4"/>
  <c r="BW6" i="4"/>
  <c r="BU10" i="4"/>
  <c r="BX9" i="4"/>
  <c r="BZ6" i="4"/>
  <c r="P219" i="1"/>
  <c r="Q213" i="1"/>
  <c r="P213" i="1"/>
  <c r="Q201" i="1"/>
  <c r="P201" i="1"/>
  <c r="P181" i="1"/>
  <c r="Q181" i="1"/>
  <c r="Q174" i="1"/>
  <c r="P174" i="1"/>
  <c r="Q169" i="1"/>
  <c r="P169" i="1"/>
  <c r="Q163" i="1"/>
  <c r="P163" i="1"/>
  <c r="P147" i="1"/>
  <c r="P144" i="1"/>
  <c r="DO10" i="4" l="1"/>
  <c r="DN10" i="4"/>
  <c r="DO7" i="4"/>
  <c r="DN7" i="4"/>
  <c r="DO6" i="4"/>
  <c r="DN6" i="4"/>
  <c r="DO9" i="4"/>
  <c r="DN9" i="4"/>
  <c r="CV7" i="4"/>
  <c r="CW7" i="4" s="1"/>
  <c r="CU7" i="4"/>
  <c r="DM94" i="4"/>
  <c r="DM95" i="4"/>
  <c r="DL94" i="4"/>
  <c r="CU9" i="4"/>
  <c r="CV9" i="4"/>
  <c r="CW9" i="4" s="1"/>
  <c r="CV10" i="4"/>
  <c r="CW10" i="4" s="1"/>
  <c r="CU10" i="4"/>
  <c r="CU6" i="4"/>
  <c r="CV6" i="4"/>
  <c r="CW6" i="4" s="1"/>
  <c r="DL95" i="4"/>
  <c r="CF10" i="4"/>
  <c r="CG10" i="4" s="1"/>
  <c r="CH7" i="4"/>
  <c r="CH9" i="4"/>
  <c r="CH10" i="4"/>
  <c r="CH6" i="4"/>
  <c r="CF7" i="4"/>
  <c r="CG7" i="4" s="1"/>
  <c r="CF9" i="4"/>
  <c r="CG9" i="4" s="1"/>
  <c r="CF6" i="4"/>
  <c r="CG6" i="4" s="1"/>
  <c r="R156" i="1"/>
  <c r="P91" i="1"/>
  <c r="Q91" i="1"/>
  <c r="Q156" i="1"/>
  <c r="P156" i="1"/>
  <c r="P99" i="1"/>
  <c r="Q150" i="1"/>
  <c r="P150" i="1"/>
  <c r="Q147" i="1"/>
  <c r="Q144" i="1"/>
  <c r="P139" i="1"/>
  <c r="DO99" i="4" l="1"/>
  <c r="DN96" i="4"/>
  <c r="DO98" i="4"/>
  <c r="CV94" i="4"/>
  <c r="CV95" i="4"/>
  <c r="CF94" i="4"/>
  <c r="CF95" i="4"/>
  <c r="DG36" i="4"/>
  <c r="DH36" i="4" s="1"/>
  <c r="I36" i="4"/>
  <c r="DO100" i="4" l="1"/>
  <c r="CW95" i="4"/>
  <c r="CW94" i="4"/>
  <c r="CP94" i="4"/>
  <c r="CO95" i="4"/>
  <c r="CR94" i="4"/>
  <c r="CM95" i="4"/>
  <c r="CS94" i="4"/>
  <c r="CP95" i="4"/>
  <c r="CQ95" i="4"/>
  <c r="CM94" i="4"/>
  <c r="CO94" i="4"/>
  <c r="CR95" i="4"/>
  <c r="CL94" i="4"/>
  <c r="CN94" i="4"/>
  <c r="CN95" i="4"/>
  <c r="DI36" i="4"/>
  <c r="CL95" i="4"/>
  <c r="CS95" i="4"/>
  <c r="CQ94" i="4"/>
  <c r="CK94" i="4"/>
  <c r="CJ94" i="4"/>
  <c r="CJ95" i="4"/>
  <c r="CK95" i="4"/>
  <c r="Q136" i="1"/>
  <c r="P136" i="1"/>
  <c r="Q130" i="1"/>
  <c r="P130" i="1"/>
  <c r="Q127" i="1"/>
  <c r="P127" i="1"/>
  <c r="P117" i="1"/>
  <c r="Q108" i="1"/>
  <c r="P108" i="1"/>
  <c r="P25" i="1"/>
  <c r="P31" i="1"/>
  <c r="Q99" i="1" l="1"/>
  <c r="Q96" i="1"/>
  <c r="P96" i="1"/>
  <c r="P51" i="1" l="1"/>
  <c r="P12" i="1"/>
  <c r="P15" i="1"/>
  <c r="P4" i="1"/>
  <c r="P8" i="1"/>
  <c r="P18" i="1"/>
  <c r="P83" i="1"/>
  <c r="P79" i="1"/>
  <c r="P75" i="1"/>
  <c r="DG9" i="4" l="1"/>
  <c r="DH9" i="4" s="1"/>
  <c r="DG6" i="4"/>
  <c r="DH6" i="4" s="1"/>
  <c r="DG10" i="4"/>
  <c r="DH10" i="4" s="1"/>
  <c r="DG7" i="4"/>
  <c r="DH7" i="4" s="1"/>
  <c r="I9" i="4"/>
  <c r="I10" i="4"/>
  <c r="DH96" i="4" l="1"/>
  <c r="I95" i="4"/>
  <c r="I94" i="4"/>
  <c r="DG94" i="4"/>
  <c r="DG95" i="4"/>
  <c r="DI7" i="4"/>
  <c r="DI10" i="4"/>
  <c r="DI6" i="4"/>
  <c r="DI9" i="4"/>
  <c r="DI99" i="4" l="1"/>
  <c r="DI98" i="4"/>
  <c r="DI100" i="4" l="1"/>
  <c r="BO94" i="4"/>
  <c r="BO95" i="4"/>
  <c r="BN95" i="4"/>
  <c r="BN94" i="4"/>
  <c r="BK94" i="4"/>
  <c r="BK95" i="4"/>
  <c r="BM94" i="4"/>
  <c r="BM95" i="4"/>
  <c r="BG95" i="4"/>
  <c r="BG94" i="4"/>
  <c r="BF95" i="4"/>
  <c r="BF94" i="4"/>
  <c r="BI95" i="4"/>
  <c r="BI94" i="4"/>
  <c r="BH95" i="4"/>
  <c r="BH94" i="4"/>
  <c r="BL95" i="4"/>
  <c r="BL94" i="4"/>
  <c r="BP94" i="4"/>
  <c r="BP95" i="4"/>
  <c r="BJ94" i="4"/>
  <c r="BJ95" i="4"/>
</calcChain>
</file>

<file path=xl/sharedStrings.xml><?xml version="1.0" encoding="utf-8"?>
<sst xmlns="http://schemas.openxmlformats.org/spreadsheetml/2006/main" count="1322" uniqueCount="733">
  <si>
    <t>('baseline', 'smoothing')</t>
  </si>
  <si>
    <t>('interference', 'boundary_left')</t>
  </si>
  <si>
    <t>('interference', 'boundary_right')</t>
  </si>
  <si>
    <t>('interference', 'smoothing')</t>
  </si>
  <si>
    <t>('interference', 'spectrum')</t>
  </si>
  <si>
    <t>('interference', 'use')</t>
  </si>
  <si>
    <t>('interpolation', 'smoothing')</t>
  </si>
  <si>
    <t>('interpolation', 'use')</t>
  </si>
  <si>
    <t>SiArea</t>
  </si>
  <si>
    <t>H2Oarea</t>
  </si>
  <si>
    <t>rWS</t>
  </si>
  <si>
    <t>noise</t>
  </si>
  <si>
    <t>Si_SNR</t>
  </si>
  <si>
    <t>H2O_SNR</t>
  </si>
  <si>
    <t>PVRG25_1_down_5x30_20mw_0.txt_long_corrected.txt</t>
  </si>
  <si>
    <t>baseline_corrected</t>
  </si>
  <si>
    <t>PVRG25_1_down_5x30_20mw_1.txt_long_corrected.txt</t>
  </si>
  <si>
    <t>PVRG25_1_down_5x30_20mw_2.txt_long_corrected.txt</t>
  </si>
  <si>
    <t>PVRG25_1_up_5x30_20mw_0.txt_long_corrected.txt</t>
  </si>
  <si>
    <t>PVRG25_1_up_5x30_20mw_1.txt_long_corrected.txt</t>
  </si>
  <si>
    <t>PVRG25_1_up_5x30_20mw_2.txt_long_corrected.txt</t>
  </si>
  <si>
    <t>PVRG25_1_up_5x30_20mw_3.txt_long_corrected.txt</t>
  </si>
  <si>
    <t>PVRG25_2_down_0.txt_long_corrected.txt</t>
  </si>
  <si>
    <t>PVRG25_2_down_1.txt_long_corrected.txt</t>
  </si>
  <si>
    <t>PVRG25_2_down_2.txt_long_corrected.txt</t>
  </si>
  <si>
    <t>PVRG25_2_down_3.txt_long_corrected.txt</t>
  </si>
  <si>
    <t>PVRG25_2_up_5x30_20mW_1.txt_long_corrected.txt</t>
  </si>
  <si>
    <t>PVRG25_2_up_5x30_20mW_2.txt_long_corrected.txt</t>
  </si>
  <si>
    <t>PVRG25_2_up_5x30_20mW_3.txt_long_corrected.txt</t>
  </si>
  <si>
    <t>PVRG25_ND_down_5x30_20mw_0.txt_long_corrected.txt</t>
  </si>
  <si>
    <t>PVRG25_ND_down_5x30_20mw_1.txt_long_corrected.txt</t>
  </si>
  <si>
    <t>PVRG25_ND_down_5x30_20mw_2.txt_long_corrected.txt</t>
  </si>
  <si>
    <t>PVRG25_ND_up_5x30_20mw_0.txt_long_corrected.txt</t>
  </si>
  <si>
    <t>PVRG25_ND_up_5x30_20mw_1.txt_long_corrected.txt</t>
  </si>
  <si>
    <t>PVRG25_ND_up_5x30_20mw_2.txt_long_corrected.txt</t>
  </si>
  <si>
    <t>PVRG25_ND_up_5x30_20mw_3.txt_long_corrected.txt</t>
  </si>
  <si>
    <t>AB60_2-36w.0.txt_long_corrected.txt</t>
  </si>
  <si>
    <t>AB60_2-36w.3.txt_long_corrected.txt</t>
  </si>
  <si>
    <t>AB60_2-36w.4.txt_long_corrected.txt</t>
  </si>
  <si>
    <t>AB61_2-86w.1.txt_long_corrected.txt</t>
  </si>
  <si>
    <t>AB61_2-86w.2.txt_long_corrected.txt</t>
  </si>
  <si>
    <t>AB61_2-86w.3.txt_long_corrected.txt</t>
  </si>
  <si>
    <t>AB61_2-86w.4.txt_long_corrected.txt</t>
  </si>
  <si>
    <t>AB64_0-70w.0.txt_long_corrected.txt</t>
  </si>
  <si>
    <t>AB64_0-70w.1.txt_long_corrected.txt</t>
  </si>
  <si>
    <t>AB64_0-70w.2.txt_long_corrected.txt</t>
  </si>
  <si>
    <t>AB65_0-90w.0.txt_long_corrected.txt</t>
  </si>
  <si>
    <t>AB65_0-90w.1.txt_long_corrected.txt</t>
  </si>
  <si>
    <t>AB65_0-90w.2.txt_long_corrected.txt</t>
  </si>
  <si>
    <t>AB66_3-15w.1.txt_long_corrected.txt</t>
  </si>
  <si>
    <t>AB66_3-15w.5.txt_long_corrected.txt</t>
  </si>
  <si>
    <t>AB76_0-29w.0.txt_long_corrected.txt</t>
  </si>
  <si>
    <t>AB76_0-29w.1.txt_long_corrected.txt</t>
  </si>
  <si>
    <t>AB76_0-29w.2.txt_long_corrected.txt</t>
  </si>
  <si>
    <t>AB76_0-29w.3.txt_long_corrected.txt</t>
  </si>
  <si>
    <t>AB77_0-47w.0.txt_long_corrected.txt</t>
  </si>
  <si>
    <t>AB77_0-47w.1.txt_long_corrected.txt</t>
  </si>
  <si>
    <t>AB77_0-47w.2.txt_long_corrected.txt</t>
  </si>
  <si>
    <t>AB78_0-86w.0.txt_long_corrected.txt</t>
  </si>
  <si>
    <t>AB78_0-86w.1.txt_long_corrected.txt</t>
  </si>
  <si>
    <t>AB78_0-86w.2.txt_long_corrected.txt</t>
  </si>
  <si>
    <t>ABP-F-15_2_5x30_20mw_0.txt_long_corrected.txt</t>
  </si>
  <si>
    <t>ABP-F-15_2_5x30_20mw_1.txt_long_corrected.txt</t>
  </si>
  <si>
    <t>ABP-F-15_2_5x30_20mw_2.txt_long_corrected.txt</t>
  </si>
  <si>
    <t>ABP-F-15_5x30_20mw_0.txt_long_corrected.txt</t>
  </si>
  <si>
    <t>ABP-F-15_5x30_20mw_1.txt_long_corrected.txt</t>
  </si>
  <si>
    <t>ABP-F-15_5x30_20mw_2.txt_long_corrected.txt</t>
  </si>
  <si>
    <t>ABP-F-3-1_5x30_20mw_0.txt_long_corrected.txt</t>
  </si>
  <si>
    <t>ABP-F-3-1_5x30_20mw_1.txt_long_corrected.txt</t>
  </si>
  <si>
    <t>ABP-F-3-1_5x30_20mw_2.txt_long_corrected.txt</t>
  </si>
  <si>
    <t>ABP-F-3-2_5x30_20mw_0.txt_long_corrected.txt</t>
  </si>
  <si>
    <t>ABP-F-3-2_5x30_20mw_2.txt_long_corrected.txt</t>
  </si>
  <si>
    <t>ABP-F-3-2_5x30_20mw_3.txt_long_corrected.txt</t>
  </si>
  <si>
    <t>ABP-F-ND1_5x30_20mw_1.txt_long_corrected.txt</t>
  </si>
  <si>
    <t>ABP-F4-1_5x30_20mw_0.txt_long_corrected.txt</t>
  </si>
  <si>
    <t>ABP-F4-1_5x30_20mw_1.txt_long_corrected.txt</t>
  </si>
  <si>
    <t>ABP-F4-1_5x30_20mw_2.txt_long_corrected.txt</t>
  </si>
  <si>
    <t>ABP-F4-1_5x30_20mw_3.txt_long_corrected.txt</t>
  </si>
  <si>
    <t>ABP-F4-2_5x30_20mw_0.txt_long_corrected.txt</t>
  </si>
  <si>
    <t>ABP-F4-2_5x30_20mw_1.txt_long_corrected.txt</t>
  </si>
  <si>
    <t>ABP-F4-2_5x30_20mw_2.txt_long_corrected.txt</t>
  </si>
  <si>
    <t>ABP-F4-2_5x30_20mw_3.txt_long_corrected.txt</t>
  </si>
  <si>
    <t>ABP-F_ND2_5x30_20mw_1.txt_long_corrected.txt</t>
  </si>
  <si>
    <t>ABP-F_ND2_5x30_20mw_2.txt_long_corrected.txt</t>
  </si>
  <si>
    <t>T (°C)</t>
  </si>
  <si>
    <t>P (Mpa)</t>
  </si>
  <si>
    <t>Phonolite</t>
  </si>
  <si>
    <t>ABP-F-3 (1)</t>
  </si>
  <si>
    <t>ABP-F-3 (2)</t>
  </si>
  <si>
    <t>Shoshonite</t>
  </si>
  <si>
    <t>PVRG25-ND (DOWN)</t>
  </si>
  <si>
    <t>PVRG25-1 (UP)</t>
  </si>
  <si>
    <t>PVRG25-1 (DOWN)</t>
  </si>
  <si>
    <t>PVRG25-2 (UP)</t>
  </si>
  <si>
    <t>PVRG25-2 (DOWN)</t>
  </si>
  <si>
    <t>AB66</t>
  </si>
  <si>
    <t>AB76</t>
  </si>
  <si>
    <t>AB77</t>
  </si>
  <si>
    <t>AB78</t>
  </si>
  <si>
    <t>Basaltic andesite</t>
  </si>
  <si>
    <t>RDC-156_gl.1.txt_long_corrected.txt</t>
  </si>
  <si>
    <t>PEG2_7w.0.txt_long_corrected.txt</t>
  </si>
  <si>
    <t>PEG2_7w.1.txt_long_corrected.txt</t>
  </si>
  <si>
    <t>PEG2_7w.2.txt_long_corrected.txt</t>
  </si>
  <si>
    <t>PEG2_7w.3.txt_long_corrected.txt</t>
  </si>
  <si>
    <t>PEG2_8w.0.txt_long_corrected.txt</t>
  </si>
  <si>
    <t>PEG2_8w.2.txt_long_corrected.txt</t>
  </si>
  <si>
    <t>PEG2_8w.3.txt_long_corrected.txt</t>
  </si>
  <si>
    <t>PVRG24_1_down_20mw_5x30_0.txt_long_corrected.txt</t>
  </si>
  <si>
    <t>PVRG24_1_down_20mw_5x30_1.txt_long_corrected.txt</t>
  </si>
  <si>
    <t>PVRG24_1_up_20mw_5x30_1.txt_long_corrected.txt</t>
  </si>
  <si>
    <t>PVRG24_1_up_20mw_5x30_2.txt_long_corrected.txt</t>
  </si>
  <si>
    <t>PVRG24_1_up_focus_test_6mic_3.txt_long_corrected.txt</t>
  </si>
  <si>
    <t>PVRG24_2_down_5x30_20mw_0.txt_long_corrected.txt</t>
  </si>
  <si>
    <t>PVRG24_2_down_5x30_20mw_1.txt_long_corrected.txt</t>
  </si>
  <si>
    <t>PVRG24_2_down_5x30_20mw_2.txt_long_corrected.txt</t>
  </si>
  <si>
    <t>PVRG24_2_up_5x30_20mw_0.txt_long_corrected.txt</t>
  </si>
  <si>
    <t>PVRG24_2_up_5x30_20mw_1.txt_long_corrected.txt</t>
  </si>
  <si>
    <t>PVRG24_2_up_5x30_20mw_2.txt_long_corrected.txt</t>
  </si>
  <si>
    <t>RdC156_5x30_50um.0.txt_long_corrected.txt</t>
  </si>
  <si>
    <t>RdC156_5x30_50um.1.txt_long_corrected.txt</t>
  </si>
  <si>
    <t>RdC156_5x30_50um.2.txt_long_corrected.txt</t>
  </si>
  <si>
    <t>18-1_ABP-F-ND.0.txt_long_corrected.txt</t>
  </si>
  <si>
    <t>18-1_ABP-F-ND.1.txt_long_corrected.txt</t>
  </si>
  <si>
    <t>18-1_ABP-F-ND.2.txt_long_corrected.txt</t>
  </si>
  <si>
    <t>18-1_ABP-F-ND.3.txt_long_corrected.txt</t>
  </si>
  <si>
    <t>18-2_ABP-F-ND.0.txt_long_corrected.txt</t>
  </si>
  <si>
    <t>18-2_ABP-F-ND.1.txt_long_corrected.txt</t>
  </si>
  <si>
    <t>18-2_ABP-F-ND.2.txt_long_corrected.txt</t>
  </si>
  <si>
    <t>18-2_ABP-ND.4.txt_long_corrected.txt</t>
  </si>
  <si>
    <t>19-1_ABP-F-1-5.0.txt_long_corrected.txt</t>
  </si>
  <si>
    <t>19-1_ABP-F-1-5.1.txt_long_corrected.txt</t>
  </si>
  <si>
    <t>19-1_ABP-F-1-5.2.txt_long_corrected.txt</t>
  </si>
  <si>
    <t>19-2_ABP-F-1-5.0.txt_long_corrected.txt</t>
  </si>
  <si>
    <t>19-2_ABP-F-1-5.1.txt_long_corrected.txt</t>
  </si>
  <si>
    <t>19-2_ABP-F-1-5.2.txt_long_corrected.txt</t>
  </si>
  <si>
    <t>20-1_ABP-F-3.0.txt_long_corrected.txt</t>
  </si>
  <si>
    <t>20-1_ABP-F-3.1.txt_long_corrected.txt</t>
  </si>
  <si>
    <t>20-1_ABP-F-3.2.txt_long_corrected.txt</t>
  </si>
  <si>
    <t>20-2_ABP-F-3.0.txt_long_corrected.txt</t>
  </si>
  <si>
    <t>20-2_ABP-F-3.1.txt_long_corrected.txt</t>
  </si>
  <si>
    <t>20-2_ABP-F-3.2.txt_long_corrected.txt</t>
  </si>
  <si>
    <t>21-1_PF21-ND.1.txt_long_corrected.txt</t>
  </si>
  <si>
    <t>21-1_PF21-ND.2.txt_long_corrected.txt</t>
  </si>
  <si>
    <t>DC-03_Teph-20mW_3x30_50um_ap-0.txt_long_corrected.txt</t>
  </si>
  <si>
    <t>DC-03_Teph-20mW_3x30_50um_ap-1.txt_long_corrected.txt</t>
  </si>
  <si>
    <t>DC-03_Teph-20mW_3x30_50um_ap-2.txt_long_corrected.txt</t>
  </si>
  <si>
    <t>DC-03_Teph-20mW_3x30_50um_ap-3.txt_long_corrected.txt</t>
  </si>
  <si>
    <t>DC7-07_teph_epoxy-mount_20mW_3x30_50um_ap-0.txt_long_corrected.txt</t>
  </si>
  <si>
    <t>DC7-07_teph_epoxy-mount_20mW_3x30_50um_ap-1.txt_long_corrected.txt</t>
  </si>
  <si>
    <t>DC7-07_teph_epoxy-mount_20mW_3x30_50um_ap-2.txt_long_corrected.txt</t>
  </si>
  <si>
    <t>DCB-02_teph_20mW_3x30_50um_ap-0.txt_long_corrected.txt</t>
  </si>
  <si>
    <t>DCB-02_teph__epoxy-mount_20mW_3x30_50um_ap-0.txt_long_corrected.txt</t>
  </si>
  <si>
    <t>DCB-02_teph__epoxy-mount_20mW_3x30_50um_ap-1.txt_long_corrected.txt</t>
  </si>
  <si>
    <t>DCB-02_teph__epoxy-mount_20mW_6x30_50um_ap-0.txt_long_corrected.txt</t>
  </si>
  <si>
    <t>DCB-02_teph__epoxy-mount_20mW_6x30_50um_ap-1.txt_long_corrected.txt</t>
  </si>
  <si>
    <t>DCB-02_teph__epoxy-mount_20mW_6x30_50um_ap-2.txt_long_corrected.txt</t>
  </si>
  <si>
    <t>DCB-07_teph_epoxy-mount_20mW_3x30_50um_ap-0.txt_long_corrected.txt</t>
  </si>
  <si>
    <t>DCB-07_teph_epoxy-mount_20mW_3x30_50um_ap-1.txt_long_corrected.txt</t>
  </si>
  <si>
    <t>DCB-07_teph_epoxy-mount_20mW_3x30_50um_ap-2.txt_long_corrected.txt</t>
  </si>
  <si>
    <t>DC_1w.0.txt_long_corrected.txt</t>
  </si>
  <si>
    <t>DC_1w.2.txt_long_corrected.txt</t>
  </si>
  <si>
    <t>DC_1w.3.txt_long_corrected.txt</t>
  </si>
  <si>
    <t>DC_2w.0.txt_long_corrected.txt</t>
  </si>
  <si>
    <t>DC_2w.1.txt_long_corrected.txt</t>
  </si>
  <si>
    <t>DC_2w.2.txt_long_corrected.txt</t>
  </si>
  <si>
    <t>DC_3w.0.txt_long_corrected.txt</t>
  </si>
  <si>
    <t>DC_3w.1.txt_long_corrected.txt</t>
  </si>
  <si>
    <t>DC_3w.2.txt_long_corrected.txt</t>
  </si>
  <si>
    <t>EDF_5.0.txt_long_corrected.txt</t>
  </si>
  <si>
    <t>EDF_5w.0.txt_long_corrected.txt</t>
  </si>
  <si>
    <t>EDF_5w.1.txt_long_corrected.txt</t>
  </si>
  <si>
    <t>EDF_5w.2.txt_long_corrected.txt</t>
  </si>
  <si>
    <t>EDF_5w.3.txt_long_corrected.txt</t>
  </si>
  <si>
    <t>OP-33</t>
  </si>
  <si>
    <t>OP-35</t>
  </si>
  <si>
    <t>OP-39</t>
  </si>
  <si>
    <t>OP-41</t>
  </si>
  <si>
    <t>OP-42</t>
  </si>
  <si>
    <t>OP-44</t>
  </si>
  <si>
    <t>OP-52</t>
  </si>
  <si>
    <t>OP-56</t>
  </si>
  <si>
    <t>OP-60</t>
  </si>
  <si>
    <t>HGG-0.0.txt_long_corrected.txt</t>
  </si>
  <si>
    <t>HGG-0.1.txt_long_corrected.txt</t>
  </si>
  <si>
    <t>HGG-0.2.txt_long_corrected.txt</t>
  </si>
  <si>
    <t>HGG-0.3.txt_long_corrected.txt</t>
  </si>
  <si>
    <t>HGG-0.4.txt_long_corrected.txt</t>
  </si>
  <si>
    <t>HGG-2.0.txt_long_corrected.txt</t>
  </si>
  <si>
    <t>HGG-2.1.txt_long_corrected.txt</t>
  </si>
  <si>
    <t>HGG-2.2.txt_long_corrected.txt</t>
  </si>
  <si>
    <t>HGG-2.3.txt_long_corrected.txt</t>
  </si>
  <si>
    <t>HGG-2.4.txt_long_corrected.txt</t>
  </si>
  <si>
    <t>HGG-2.5.txt_long_corrected.txt</t>
  </si>
  <si>
    <t>HGG-3.4.txt_long_corrected.txt</t>
  </si>
  <si>
    <t>HGG-3.5.txt_long_corrected.txt</t>
  </si>
  <si>
    <t>HGG-3.6.txt_long_corrected.txt</t>
  </si>
  <si>
    <t>HGG-3.7.txt_long_corrected.txt</t>
  </si>
  <si>
    <t>HGG-3.9.txt_long_corrected.txt</t>
  </si>
  <si>
    <t>HGG-5.0.txt_long_corrected.txt</t>
  </si>
  <si>
    <t>HGG-5.1.txt_long_corrected.txt</t>
  </si>
  <si>
    <t>HGG-5.2.txt_long_corrected.txt</t>
  </si>
  <si>
    <t>HGG-5.3.txt_long_corrected.txt</t>
  </si>
  <si>
    <t>HGG-5.4.txt_long_corrected.txt</t>
  </si>
  <si>
    <t>HGG-5.5.txt_long_corrected.txt</t>
  </si>
  <si>
    <t>HGG-5.6.txt_long_corrected.txt</t>
  </si>
  <si>
    <t>HGG-2</t>
  </si>
  <si>
    <t>HGG-3</t>
  </si>
  <si>
    <t>HGG-5</t>
  </si>
  <si>
    <t>RK-Fe1-ic.0.txt_long_corrected.txt</t>
  </si>
  <si>
    <t>RK-Fe1-ic.1.txt_long_corrected.txt</t>
  </si>
  <si>
    <t>RK-Fe1-ic.2.txt_long_corrected.txt</t>
  </si>
  <si>
    <t>RK-Fe1-ic.3.txt_long_corrected.txt</t>
  </si>
  <si>
    <t>RK-Fe1-ic.4.txt_long_corrected.txt</t>
  </si>
  <si>
    <t>RK-Fe1-ic.5.txt_long_corrected.txt</t>
  </si>
  <si>
    <t>RK-Fe1-oc-2nd.0.txt_long_corrected.txt</t>
  </si>
  <si>
    <t>RK-Fe1-oc.1.txt_long_corrected.txt</t>
  </si>
  <si>
    <t>RK-Fe1-oc.2.txt_long_corrected.txt</t>
  </si>
  <si>
    <t>RK-Fe1-oc.3.txt_long_corrected.txt</t>
  </si>
  <si>
    <t>RK-Fe1-oc.4.txt_long_corrected.txt</t>
  </si>
  <si>
    <t>RK-Fe1-oc.6.txt_long_corrected.txt</t>
  </si>
  <si>
    <t>RK-Fe2-ic-2nd.0.txt_long_corrected.txt</t>
  </si>
  <si>
    <t>RK-Fe2-ic-2nd.1.txt_long_corrected.txt</t>
  </si>
  <si>
    <t>RK-Fe2-ic-2nd.2.txt_long_corrected.txt</t>
  </si>
  <si>
    <t>RK-Fe2-ic-2nd.3.txt_long_corrected.txt</t>
  </si>
  <si>
    <t>RK-Fe2-ic-2nd.4.txt_long_corrected.txt</t>
  </si>
  <si>
    <t>RK-Fe2-ic-2nd.5.txt_long_corrected.txt</t>
  </si>
  <si>
    <t>RK-Fe2-ic-2nd.6.txt_long_corrected.txt</t>
  </si>
  <si>
    <t>RK-Fe2-ic.0.txt_long_corrected.txt</t>
  </si>
  <si>
    <t>RK-Fe2-ic.1.txt_long_corrected.txt</t>
  </si>
  <si>
    <t>RK-Fe2-ic.2.txt_long_corrected.txt</t>
  </si>
  <si>
    <t>RK-Fe2-ic.3.txt_long_corrected.txt</t>
  </si>
  <si>
    <t>RK-Fe2-ic.4.txt_long_corrected.txt</t>
  </si>
  <si>
    <t>RK-Fe2-ic.5.txt_long_corrected.txt</t>
  </si>
  <si>
    <t>RK-Fe2-oc-2nd.0.txt_long_corrected.txt</t>
  </si>
  <si>
    <t>RK-Fe2-oc-2nd.1.txt_long_corrected.txt</t>
  </si>
  <si>
    <t>RK-Fe2-oc-2nd.3.txt_long_corrected.txt</t>
  </si>
  <si>
    <t>RK-Fe2-oc-2nd.4.txt_long_corrected.txt</t>
  </si>
  <si>
    <t>RK-Fe2-oc-2nd.5.txt_long_corrected.txt</t>
  </si>
  <si>
    <t>RK-Fe2-oc-2nd.6.txt_long_corrected.txt</t>
  </si>
  <si>
    <t>RK-Fe2-oc.0.txt_long_corrected.txt</t>
  </si>
  <si>
    <t>RK-Fe2-oc.1.txt_long_corrected.txt</t>
  </si>
  <si>
    <t>RK-Fe2-oc.2.txt_long_corrected.txt</t>
  </si>
  <si>
    <t>RK-Fe2-oc.4.txt_long_corrected.txt</t>
  </si>
  <si>
    <t>RK-Fe2-oc.5.txt_long_corrected.txt</t>
  </si>
  <si>
    <t>RK-Fe2-oc.6.txt_long_corrected.txt</t>
  </si>
  <si>
    <t>RK-Fe3-ic.0.txt_long_corrected.txt</t>
  </si>
  <si>
    <t>RK-Fe3-ic.1.txt_long_corrected.txt</t>
  </si>
  <si>
    <t>RK-Fe3-ic.2.txt_long_corrected.txt</t>
  </si>
  <si>
    <t>RK-Fe3-ic.3.txt_long_corrected.txt</t>
  </si>
  <si>
    <t>RK-Fe3-ic.4.txt_long_corrected.txt</t>
  </si>
  <si>
    <t>RK-Fe3-ic.5.txt_long_corrected.txt</t>
  </si>
  <si>
    <t>RK-Fe3-ic.6.txt_long_corrected.txt</t>
  </si>
  <si>
    <t>RK-Fe3-oc.0.txt_long_corrected.txt</t>
  </si>
  <si>
    <t>RK-Fe3-oc.1.txt_long_corrected.txt</t>
  </si>
  <si>
    <t>RK-Fe3-oc.3.txt_long_corrected.txt</t>
  </si>
  <si>
    <t>RK-Fe3-oc.4.txt_long_corrected.txt</t>
  </si>
  <si>
    <t>RK-Fe3-oc.5.txt_long_corrected.txt</t>
  </si>
  <si>
    <t>RK-Fe3-oc.6.txt_long_corrected.txt</t>
  </si>
  <si>
    <t>RK-Fe4-ic.0.txt_long_corrected.txt</t>
  </si>
  <si>
    <t>RK-Fe4-ic.1.txt_long_corrected.txt</t>
  </si>
  <si>
    <t>RK-Fe4-ic.2.txt_long_corrected.txt</t>
  </si>
  <si>
    <t>RK-Fe4-ic.3.txt_long_corrected.txt</t>
  </si>
  <si>
    <t>RK-Fe4-ic.4.txt_long_corrected.txt</t>
  </si>
  <si>
    <t>RK-Fe4-ic.5.txt_long_corrected.txt</t>
  </si>
  <si>
    <t>RK-Fe4-oc.0.txt_long_corrected.txt</t>
  </si>
  <si>
    <t>RK-Fe4-oc.2.txt_long_corrected.txt</t>
  </si>
  <si>
    <t>RK-Fe4-oc.3.txt_long_corrected.txt</t>
  </si>
  <si>
    <t>RK-Fe4-oc.4.txt_long_corrected.txt</t>
  </si>
  <si>
    <t>RK-Fe4-oc.5.txt_long_corrected.txt</t>
  </si>
  <si>
    <t>RK-Fe4-oc.6.txt_long_corrected.txt</t>
  </si>
  <si>
    <t>PU1011.0.txt_long_corrected.txt</t>
  </si>
  <si>
    <t>PU1011.1.txt_long_corrected.txt</t>
  </si>
  <si>
    <t>PU1011.2.txt_long_corrected.txt</t>
  </si>
  <si>
    <t>PU1011.4.txt_long_corrected.txt</t>
  </si>
  <si>
    <t>PU1011.5.txt_long_corrected.txt</t>
  </si>
  <si>
    <t>PU1011.6.txt_long_corrected.txt</t>
  </si>
  <si>
    <t>PU1011.7.txt_long_corrected.txt</t>
  </si>
  <si>
    <t>PU1011.8.txt_long_corrected.txt</t>
  </si>
  <si>
    <t>PU1011.9.txt_long_corrected.txt</t>
  </si>
  <si>
    <t>PU1011.10.txt_long_corrected.txt</t>
  </si>
  <si>
    <t>PU1011.11.txt_long_corrected.txt</t>
  </si>
  <si>
    <t>PU1011.12.txt_long_corrected.txt</t>
  </si>
  <si>
    <t>PU1012.1.txt_long_corrected.txt</t>
  </si>
  <si>
    <t>PU1012.2.txt_long_corrected.txt</t>
  </si>
  <si>
    <t>PU1012.3.txt_long_corrected.txt</t>
  </si>
  <si>
    <t>PU1012.4.txt_long_corrected.txt</t>
  </si>
  <si>
    <t>PU1012.5.txt_long_corrected.txt</t>
  </si>
  <si>
    <t>PU1012.6.txt_long_corrected.txt</t>
  </si>
  <si>
    <t>PU1012.7.txt_long_corrected.txt</t>
  </si>
  <si>
    <t>PU1012.8.txt_long_corrected.txt</t>
  </si>
  <si>
    <t>PU1012.9.txt_long_corrected.txt</t>
  </si>
  <si>
    <t>PU1012.10.txt_long_corrected.txt</t>
  </si>
  <si>
    <t>PU1012.11.txt_long_corrected.txt</t>
  </si>
  <si>
    <t>PU1013.0.txt_long_corrected.txt</t>
  </si>
  <si>
    <t>PU1013.1.txt_long_corrected.txt</t>
  </si>
  <si>
    <t>PU1013.2.txt_long_corrected.txt</t>
  </si>
  <si>
    <t>PU1013.3.txt_long_corrected.txt</t>
  </si>
  <si>
    <t>PU1013.4.txt_long_corrected.txt</t>
  </si>
  <si>
    <t>PU1013.5.txt_long_corrected.txt</t>
  </si>
  <si>
    <t>PU1013.6.txt_long_corrected.txt</t>
  </si>
  <si>
    <t>PU1010.0.txt_long_corrected.txt</t>
  </si>
  <si>
    <t>PU1010.1.txt_long_corrected.txt</t>
  </si>
  <si>
    <t>PU1010.2.txt_long_corrected.txt</t>
  </si>
  <si>
    <t>PU1010.3.txt_long_corrected.txt</t>
  </si>
  <si>
    <t>PU1010.4.txt_long_corrected.txt</t>
  </si>
  <si>
    <t>PU1010.5.txt_long_corrected.txt</t>
  </si>
  <si>
    <t>PU1010.6.txt_long_corrected.txt</t>
  </si>
  <si>
    <t>PU1010.7.txt_long_corrected.txt</t>
  </si>
  <si>
    <t>PU1028.0.txt_long_corrected.txt</t>
  </si>
  <si>
    <t>PU1014.0.txt_long_corrected.txt</t>
  </si>
  <si>
    <t>PU1014.1.txt_long_corrected.txt</t>
  </si>
  <si>
    <t>PU1014.2.txt_long_corrected.txt</t>
  </si>
  <si>
    <t>PU1014.3.txt_long_corrected.txt</t>
  </si>
  <si>
    <t>PU1014.4.txt_long_corrected.txt</t>
  </si>
  <si>
    <t>PU1014.5.txt_long_corrected.txt</t>
  </si>
  <si>
    <t>PU1014.6.txt_long_corrected.txt</t>
  </si>
  <si>
    <t>PU1026.1.txt_long_corrected.txt</t>
  </si>
  <si>
    <t>PU1026.2.txt_long_corrected.txt</t>
  </si>
  <si>
    <t>PU1026.3.txt_long_corrected.txt</t>
  </si>
  <si>
    <t>PU1026.4.txt_long_corrected.txt</t>
  </si>
  <si>
    <t>PU1026.6.txt_long_corrected.txt</t>
  </si>
  <si>
    <t>PU1026.9.txt_long_corrected.txt</t>
  </si>
  <si>
    <t>PU1026.10.txt_long_corrected.txt</t>
  </si>
  <si>
    <t>PU1026.11.txt_long_corrected.txt</t>
  </si>
  <si>
    <t>PU1026.12.txt_long_corrected.txt</t>
  </si>
  <si>
    <t>PU1026.13.txt_long_corrected.txt</t>
  </si>
  <si>
    <t>PU1026.14.txt_long_corrected.txt</t>
  </si>
  <si>
    <t>PU1026.15.txt_long_corrected.txt</t>
  </si>
  <si>
    <t>PU1018-2wt%.0.txt_long_corrected.txt</t>
  </si>
  <si>
    <t>PU1018-2wt%.1.txt_long_corrected.txt</t>
  </si>
  <si>
    <t>PU1018-2wt%.2.txt_long_corrected.txt</t>
  </si>
  <si>
    <t>PU1018-2wt%.3.txt_long_corrected.txt</t>
  </si>
  <si>
    <t>PU1018-2wt%.4.txt_long_corrected.txt</t>
  </si>
  <si>
    <t>PU1018-2wt%.5.txt_long_corrected.txt</t>
  </si>
  <si>
    <t>PU1018-2wt%.6.txt_long_corrected.txt</t>
  </si>
  <si>
    <t>PU1018-2wt%.7.txt_long_corrected.txt</t>
  </si>
  <si>
    <t>PU1016-3wt%.0.txt_long_corrected.txt</t>
  </si>
  <si>
    <t>PU1016-3wt%.1.txt_long_corrected.txt</t>
  </si>
  <si>
    <t>PU1016-3wt%.2.txt_long_corrected.txt</t>
  </si>
  <si>
    <t>PU1016-3wt%.3.txt_long_corrected.txt</t>
  </si>
  <si>
    <t>PU1016-3wt%.4.txt_long_corrected.txt</t>
  </si>
  <si>
    <t>PU1016-3wt%.5.txt_long_corrected.txt</t>
  </si>
  <si>
    <t>PU1016-2nd.0.txt_long_corrected.txt</t>
  </si>
  <si>
    <t>PU1016-2nd.1.txt_long_corrected.txt</t>
  </si>
  <si>
    <t>PU1016-2nd.3.txt_long_corrected.txt</t>
  </si>
  <si>
    <t>PU1016-2nd.4.txt_long_corrected.txt</t>
  </si>
  <si>
    <t>PU1016-2nd.5.txt_long_corrected.txt</t>
  </si>
  <si>
    <t>PU1016-2nd.6.txt_long_corrected.txt</t>
  </si>
  <si>
    <t>PU1016-2nd.7.txt_long_corrected.txt</t>
  </si>
  <si>
    <t>PU1016-2nd.8.txt_long_corrected.txt</t>
  </si>
  <si>
    <t>PU1019-4.5wt%.0.txt_long_corrected.txt</t>
  </si>
  <si>
    <t>PU1019-4.5wt%.1.txt_long_corrected.txt</t>
  </si>
  <si>
    <t>PU1019-4.5wt%.2.txt_long_corrected.txt</t>
  </si>
  <si>
    <t>PU1019-4.5wt%.3.txt_long_corrected.txt</t>
  </si>
  <si>
    <t>PU1019-4.5wt%.4.txt_long_corrected.txt</t>
  </si>
  <si>
    <t>PU1019-4.5wt%.6.txt_long_corrected.txt</t>
  </si>
  <si>
    <t>PU1017.0.txt_long_corrected.txt</t>
  </si>
  <si>
    <t>PU1017.1.txt_long_corrected.txt</t>
  </si>
  <si>
    <t>PU1017.2.txt_long_corrected.txt</t>
  </si>
  <si>
    <t>PU1017.3.txt_long_corrected.txt</t>
  </si>
  <si>
    <t>PU1017.4.txt_long_corrected.txt</t>
  </si>
  <si>
    <t>PU1017.5.txt_long_corrected.txt</t>
  </si>
  <si>
    <t>PU990-1wt%.0.txt_long_corrected.txt</t>
  </si>
  <si>
    <t>PU990-1wt%.1.txt_long_corrected.txt</t>
  </si>
  <si>
    <t>PU990-1wt%.2.txt_long_corrected.txt</t>
  </si>
  <si>
    <t>PU990-1wt%.3.txt_long_corrected.txt</t>
  </si>
  <si>
    <t>PU990-1wt%.4.txt_long_corrected.txt</t>
  </si>
  <si>
    <t>PU990-1wt%.5.txt_long_corrected.txt</t>
  </si>
  <si>
    <t>PU990-2nd.0.txt_long_corrected.txt</t>
  </si>
  <si>
    <t>PU990-2nd.1.txt_long_corrected.txt</t>
  </si>
  <si>
    <t>PU990-2nd.2.txt_long_corrected.txt</t>
  </si>
  <si>
    <t>PU990-2nd.3.txt_long_corrected.txt</t>
  </si>
  <si>
    <t>PU990-2nd.4.txt_long_corrected.txt</t>
  </si>
  <si>
    <t>PU990-2nd.5.txt_long_corrected.txt</t>
  </si>
  <si>
    <t>PU990-2nd.6.txt_long_corrected.txt</t>
  </si>
  <si>
    <t>PU990-2nd.7.txt_long_corrected.txt</t>
  </si>
  <si>
    <t>PU990-2nd.8.txt_long_corrected.txt</t>
  </si>
  <si>
    <t>PU990-2nd.9.txt_long_corrected.txt</t>
  </si>
  <si>
    <t>PU990-2nd.10.txt_long_corrected.txt</t>
  </si>
  <si>
    <t>PU1030-2wt%.0.txt_long_corrected.txt</t>
  </si>
  <si>
    <t>PU1030-2wt%.2.txt_long_corrected.txt</t>
  </si>
  <si>
    <t>PU1030-2wt%.3.txt_long_corrected.txt</t>
  </si>
  <si>
    <t>PU1030-2wt%.4.txt_long_corrected.txt</t>
  </si>
  <si>
    <t>PU1030-2wt%.5.txt_long_corrected.txt</t>
  </si>
  <si>
    <t>PU1030-2wt%.6.txt_long_corrected.txt</t>
  </si>
  <si>
    <t>PU991.0.txt_long_corrected.txt</t>
  </si>
  <si>
    <t>PU991.1.txt_long_corrected.txt</t>
  </si>
  <si>
    <t>PU991.3.txt_long_corrected.txt</t>
  </si>
  <si>
    <t>PU991.4.txt_long_corrected.txt</t>
  </si>
  <si>
    <t>PU991.5.txt_long_corrected.txt</t>
  </si>
  <si>
    <t>PU991.6.txt_long_corrected.txt</t>
  </si>
  <si>
    <t>PU991-3wt%.0.txt_long_corrected.txt</t>
  </si>
  <si>
    <t>PU991-3wt%.1.txt_long_corrected.txt</t>
  </si>
  <si>
    <t>PU991-3wt%.2.txt_long_corrected.txt</t>
  </si>
  <si>
    <t>PU991-3wt%.3.txt_long_corrected.txt</t>
  </si>
  <si>
    <t>PU991-3wt%.4.txt_long_corrected.txt</t>
  </si>
  <si>
    <t>PU991-3wt%.5.txt_long_corrected.txt</t>
  </si>
  <si>
    <t>PU1031.0.txt_long_corrected.txt</t>
  </si>
  <si>
    <t>PU1031.1.txt_long_corrected.txt</t>
  </si>
  <si>
    <t>PU1031.2.txt_long_corrected.txt</t>
  </si>
  <si>
    <t>PU1031.3.txt_long_corrected.txt</t>
  </si>
  <si>
    <t>PU1031.4.txt_long_corrected.txt</t>
  </si>
  <si>
    <t>PU1031.5.txt_long_corrected.txt</t>
  </si>
  <si>
    <t>Standards Felix</t>
  </si>
  <si>
    <t>Average rWS</t>
  </si>
  <si>
    <t>sd rWS</t>
  </si>
  <si>
    <t>no. Spectra</t>
  </si>
  <si>
    <t>Synthetic pegmatite Christian</t>
  </si>
  <si>
    <t>MnO</t>
  </si>
  <si>
    <t>MgO</t>
  </si>
  <si>
    <t>CaO</t>
  </si>
  <si>
    <t>P2O5</t>
  </si>
  <si>
    <t>Haplogranite</t>
  </si>
  <si>
    <t>Sum</t>
  </si>
  <si>
    <t>wt% ratio</t>
  </si>
  <si>
    <t>Do not modify or delete any weights and coefficients cell</t>
  </si>
  <si>
    <t>weights</t>
  </si>
  <si>
    <t>Mr</t>
  </si>
  <si>
    <t>O</t>
  </si>
  <si>
    <t>X ox</t>
  </si>
  <si>
    <r>
      <t>SiO</t>
    </r>
    <r>
      <rPr>
        <b/>
        <vertAlign val="subscript"/>
        <sz val="10"/>
        <rFont val="Times New Roman"/>
        <family val="1"/>
      </rPr>
      <t>2</t>
    </r>
  </si>
  <si>
    <r>
      <t>TiO</t>
    </r>
    <r>
      <rPr>
        <b/>
        <vertAlign val="subscript"/>
        <sz val="10"/>
        <rFont val="Times New Roman"/>
        <family val="1"/>
      </rPr>
      <t>2</t>
    </r>
  </si>
  <si>
    <r>
      <t>Al</t>
    </r>
    <r>
      <rPr>
        <b/>
        <vertAlign val="subscript"/>
        <sz val="10"/>
        <rFont val="Times New Roman"/>
        <family val="1"/>
      </rPr>
      <t>2</t>
    </r>
    <r>
      <rPr>
        <b/>
        <sz val="10"/>
        <rFont val="Times New Roman"/>
        <family val="1"/>
      </rPr>
      <t>O</t>
    </r>
    <r>
      <rPr>
        <b/>
        <vertAlign val="subscript"/>
        <sz val="10"/>
        <rFont val="Times New Roman"/>
        <family val="1"/>
      </rPr>
      <t>3</t>
    </r>
  </si>
  <si>
    <t>Cr2O3</t>
  </si>
  <si>
    <t>FeO</t>
  </si>
  <si>
    <t>NiO</t>
  </si>
  <si>
    <r>
      <t>Na</t>
    </r>
    <r>
      <rPr>
        <b/>
        <vertAlign val="subscript"/>
        <sz val="10"/>
        <rFont val="Times New Roman"/>
        <family val="1"/>
      </rPr>
      <t>2</t>
    </r>
    <r>
      <rPr>
        <b/>
        <sz val="10"/>
        <rFont val="Times New Roman"/>
        <family val="1"/>
      </rPr>
      <t>O</t>
    </r>
  </si>
  <si>
    <r>
      <t>K</t>
    </r>
    <r>
      <rPr>
        <b/>
        <vertAlign val="subscript"/>
        <sz val="10"/>
        <rFont val="Times New Roman"/>
        <family val="1"/>
      </rPr>
      <t>2</t>
    </r>
    <r>
      <rPr>
        <b/>
        <sz val="10"/>
        <rFont val="Times New Roman"/>
        <family val="1"/>
      </rPr>
      <t>O</t>
    </r>
  </si>
  <si>
    <t>F</t>
  </si>
  <si>
    <t>H2O</t>
  </si>
  <si>
    <t>Cl</t>
  </si>
  <si>
    <t>Total</t>
  </si>
  <si>
    <r>
      <t>Fe</t>
    </r>
    <r>
      <rPr>
        <b/>
        <vertAlign val="subscript"/>
        <sz val="10"/>
        <rFont val="Times New Roman"/>
        <family val="1"/>
      </rPr>
      <t>2</t>
    </r>
    <r>
      <rPr>
        <b/>
        <sz val="10"/>
        <rFont val="Times New Roman"/>
        <family val="1"/>
      </rPr>
      <t>O</t>
    </r>
    <r>
      <rPr>
        <b/>
        <vertAlign val="subscript"/>
        <sz val="10"/>
        <rFont val="Times New Roman"/>
        <family val="1"/>
      </rPr>
      <t>3</t>
    </r>
  </si>
  <si>
    <t>CO2</t>
  </si>
  <si>
    <t>Ar</t>
  </si>
  <si>
    <t>C</t>
  </si>
  <si>
    <t>Si</t>
  </si>
  <si>
    <t>Ti</t>
  </si>
  <si>
    <t>Al</t>
  </si>
  <si>
    <t>Cr</t>
  </si>
  <si>
    <t>Fe</t>
  </si>
  <si>
    <t>Mg</t>
  </si>
  <si>
    <t>Ca</t>
  </si>
  <si>
    <t>Mn</t>
  </si>
  <si>
    <t>Na</t>
  </si>
  <si>
    <t>K</t>
  </si>
  <si>
    <t xml:space="preserve">Ni </t>
  </si>
  <si>
    <t xml:space="preserve">H </t>
  </si>
  <si>
    <t>OH</t>
  </si>
  <si>
    <t>FeO (wt%)</t>
  </si>
  <si>
    <t>Hydrous composition</t>
  </si>
  <si>
    <t>TA</t>
  </si>
  <si>
    <t>O mol</t>
  </si>
  <si>
    <t xml:space="preserve">Mg </t>
  </si>
  <si>
    <t>H</t>
  </si>
  <si>
    <t>P</t>
  </si>
  <si>
    <t>error</t>
  </si>
  <si>
    <t>N</t>
  </si>
  <si>
    <r>
      <t>σ</t>
    </r>
    <r>
      <rPr>
        <b/>
        <vertAlign val="subscript"/>
        <sz val="10"/>
        <rFont val="Arial"/>
        <family val="2"/>
      </rPr>
      <t>est</t>
    </r>
  </si>
  <si>
    <t>SUMMARY OUTPUT</t>
  </si>
  <si>
    <t>Regression Statistics</t>
  </si>
  <si>
    <t>Multiple R</t>
  </si>
  <si>
    <t>R Square</t>
  </si>
  <si>
    <t>Standard Error</t>
  </si>
  <si>
    <t>Observations</t>
  </si>
  <si>
    <t>ANOVA</t>
  </si>
  <si>
    <t>Regression</t>
  </si>
  <si>
    <t>Residual</t>
  </si>
  <si>
    <t>df</t>
  </si>
  <si>
    <t>SS</t>
  </si>
  <si>
    <t>MS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</si>
  <si>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</si>
  <si>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</si>
  <si>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</si>
  <si>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</si>
  <si>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</si>
  <si>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</si>
  <si>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</si>
  <si>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</si>
  <si>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NBO/T</t>
  </si>
  <si>
    <t>FeOtot</t>
  </si>
  <si>
    <t>BF-35</t>
  </si>
  <si>
    <t>BF-33</t>
  </si>
  <si>
    <t>BF-20</t>
  </si>
  <si>
    <t>BF-18</t>
  </si>
  <si>
    <t>BF-15</t>
  </si>
  <si>
    <t>BF-13</t>
  </si>
  <si>
    <t>BF-11</t>
  </si>
  <si>
    <t>BF-09</t>
  </si>
  <si>
    <t>BF-08</t>
  </si>
  <si>
    <t>BF-06</t>
  </si>
  <si>
    <t>BF-04</t>
  </si>
  <si>
    <t>BF-03</t>
  </si>
  <si>
    <t>BF-03_4x30_9-15cm_20mW_50um.0.txt_long_corrected.txt</t>
  </si>
  <si>
    <t>BF-03_4x30_9-15cm_20mW_50um.1.txt_long_corrected.txt</t>
  </si>
  <si>
    <t>BF-03_4x30_9-15cm_20mW_50um.2.txt_long_corrected.txt</t>
  </si>
  <si>
    <t>BF-04_4x30_9-15cm_20mW_50um.0.txt_long_corrected.txt</t>
  </si>
  <si>
    <t>(discarded spectrum)</t>
  </si>
  <si>
    <t>BF-04_4x30_9-15cm_20mW_50um.1.txt_long_corrected.txt</t>
  </si>
  <si>
    <t>BF-04_4x30_9-15cm_20mW_50um.2.txt_long_corrected.txt</t>
  </si>
  <si>
    <t>BF-04_4x30_9-15cm_20mW_50um.3.txt_long_corrected.txt</t>
  </si>
  <si>
    <t>BF-06_4x30_9-15cm_20mW_50um.0.txt_long_corrected.txt</t>
  </si>
  <si>
    <t>BF-06_4x30_9-15cm_20mW_50um.1.txt_long_corrected.txt</t>
  </si>
  <si>
    <t>BF-06_4x30_9-15cm_20mW_50um.2.txt_long_corrected.txt</t>
  </si>
  <si>
    <t>BF-06_4x30_9-15cm_20mW_50um.3.txt_long_corrected.txt</t>
  </si>
  <si>
    <t>BF-08_4x30_9-15cm_20mW_50um.0.txt_long_corrected.txt</t>
  </si>
  <si>
    <t>BF-08_4x30_9-15cm_20mW_50um.1.txt_long_corrected.txt</t>
  </si>
  <si>
    <t>BF-08_4x30_9-15cm_20mW_50um.2.txt_long_corrected.txt</t>
  </si>
  <si>
    <t>BF-09_4x30_9-15cm_20mW_50um.0.txt_long_corrected.txt</t>
  </si>
  <si>
    <t>BF-09_4x30_9-15cm_20mW_50um.1.txt_long_corrected.txt</t>
  </si>
  <si>
    <t>BF-09_4x30_9-15cm_20mW_50um.2.txt_long_corrected.txt</t>
  </si>
  <si>
    <t>BF-09_4x30_9-15cm_20mW_50um.3.txt_long_corrected.txt</t>
  </si>
  <si>
    <t>BF-11_4x30_9-15cm_20mW_50um.0.txt_long_corrected.txt</t>
  </si>
  <si>
    <t>BF-11_4x30_9-15cm_20mW_50um.1.txt_long_corrected.txt</t>
  </si>
  <si>
    <t>BF-11_4x30_9-15cm_20mW_50um.2.txt_long_corrected.txt</t>
  </si>
  <si>
    <t>BF-11_4x30_9-15cm_20mW_50um.3.txt_long_corrected.txt</t>
  </si>
  <si>
    <t>BF-11_4x30_9-15cm_20mW_50um.4.txt_long_corrected.txt</t>
  </si>
  <si>
    <t>BF-13_4x30_9-15cm_20mW_50um.1.txt_long_corrected.txt</t>
  </si>
  <si>
    <t>BF-13_4x30_9-15cm_20mW_50um.2.txt_long_corrected.txt</t>
  </si>
  <si>
    <t>BF-13_4x30_9-15cm_20mW_50um.3.txt_long_corrected.txt</t>
  </si>
  <si>
    <t>BF-15_4x30_9-15cm_20mW_50um.0.txt_long_corrected.txt</t>
  </si>
  <si>
    <t>BF-15_4x30_9-15cm_20mW_50um.2.txt_long_corrected.txt</t>
  </si>
  <si>
    <t>BF-18_4x30_9-15cm_20mW_50um.2.txt_long_corrected.txt</t>
  </si>
  <si>
    <t>BF-18_4x30_9-15cm_20mW_50um.3.txt_long_corrected.txt</t>
  </si>
  <si>
    <t>BF-20_4x30_9-15cm_20mW_50um.0.txt_long_corrected.txt</t>
  </si>
  <si>
    <t>BF-20_4x30_9-15cm_20mW_50um.1.txt_long_corrected.txt</t>
  </si>
  <si>
    <t>BF-20_4x30_9-15cm_20mW_50um.2.txt_long_corrected.txt</t>
  </si>
  <si>
    <t>BF-33_4x30_9-15cm_20mW_50um.0.txt_long_corrected.txt</t>
  </si>
  <si>
    <t>BF-33_4x30_9-15cm_20mW_50um.1.txt_long_corrected.txt</t>
  </si>
  <si>
    <t>BF-33_4x30_9-15cm_20mW_50um.2.txt_long_corrected.txt</t>
  </si>
  <si>
    <t>BF-35_4x30_9-15cm_20mW_50um.0.txt_long_corrected.txt</t>
  </si>
  <si>
    <t>BF-35_4x30_9-15cm_20mW_50um.1.txt_long_corrected.txt</t>
  </si>
  <si>
    <t>BF-35_4x30_9-15cm_20mW_50um.2.txt_long_corrected.txt</t>
  </si>
  <si>
    <t>OP-33_4x30_9-15cm_20mW_50um.2.txt_long_corrected.txt</t>
  </si>
  <si>
    <t>OP-33_4x30_9-15cm_20mW_50um.3.txt_long_corrected.txt</t>
  </si>
  <si>
    <t>OP-33_4x30_9-15cm_20mW_50um.4.txt_long_corrected.txt</t>
  </si>
  <si>
    <t>OP-33_4x30_9-15cm_20mW_50um.5.txt_long_corrected.txt</t>
  </si>
  <si>
    <t>OP-35_4x30_9-15cm_20mW_50um.0.txt_long_corrected.txt</t>
  </si>
  <si>
    <t>OP-35_4x30_9-15cm_20mW_50um.1.txt_long_corrected.txt</t>
  </si>
  <si>
    <t>OP-35_4x30_9-15cm_20mW_50um.2.txt_long_corrected.txt</t>
  </si>
  <si>
    <t>OP-35_4x30_9-15cm_20mW_50um.3.txt_long_corrected.txt</t>
  </si>
  <si>
    <t>OP-39_4x30_9-15cm_20mW_50um.0.txt_long_corrected.txt</t>
  </si>
  <si>
    <t>OP-39_4x30_9-15cm_20mW_50um.1.txt_long_corrected.txt</t>
  </si>
  <si>
    <t>OP-39_4x30_9-15cm_20mW_50um.2.txt_long_corrected.txt</t>
  </si>
  <si>
    <t>OP-39_4x30_9-15cm_20mW_50um.3.txt_long_corrected.txt</t>
  </si>
  <si>
    <t>OP-41_4x30_9-15cm_20mW_50um.0.txt_long_corrected.txt</t>
  </si>
  <si>
    <t>OP-41_4x30_9-15cm_20mW_50um.1.txt_long_corrected.txt</t>
  </si>
  <si>
    <t>OP-41_4x30_9-15cm_20mW_50um.2.txt_long_corrected.txt</t>
  </si>
  <si>
    <t>OP-41_4x30_9-15cm_20mW_50um.3.txt_long_corrected.txt</t>
  </si>
  <si>
    <t>OP-42_4x30_9-15cm_20mW_50um.0.txt_long_corrected.txt</t>
  </si>
  <si>
    <t>OP-42_4x30_9-15cm_20mW_50um.1.txt_long_corrected.txt</t>
  </si>
  <si>
    <t>OP-42_4x30_9-15cm_20mW_50um.2.txt_long_corrected.txt</t>
  </si>
  <si>
    <t>OP-42_4x30_9-15cm_20mW_50um.3.txt_long_corrected.txt</t>
  </si>
  <si>
    <t>OP-44_4x30_9-15cm_20mW_50um.0.txt_long_corrected.txt</t>
  </si>
  <si>
    <t>OP-44_4x30_9-15cm_20mW_50um.1.txt_long_corrected.txt</t>
  </si>
  <si>
    <t>OP-44_4x30_9-15cm_20mW_50um.2.txt_long_corrected.txt</t>
  </si>
  <si>
    <t>OP-44_4x30_9-15cm_20mW_50um.3.txt_long_corrected.txt</t>
  </si>
  <si>
    <t>OP-52_4x30_9-15cm_20mW_50um.0.txt_long_corrected.txt</t>
  </si>
  <si>
    <t>OP-52_4x30_9-15cm_20mW_50um.1.txt_long_corrected.txt</t>
  </si>
  <si>
    <t>OP-52_4x30_9-15cm_20mW_50um.2.txt_long_corrected.txt</t>
  </si>
  <si>
    <t>OP-52_4x30_9-15cm_20mW_50um.3.txt_long_corrected.txt</t>
  </si>
  <si>
    <t>OP-56_4x30_9-15cm_20mW_50um.0.txt_long_corrected.txt</t>
  </si>
  <si>
    <t>OP-56_4x30_9-15cm_20mW_50um.1.txt_long_corrected.txt</t>
  </si>
  <si>
    <t>OP-56_4x30_9-15cm_20mW_50um.2.txt_long_corrected.txt</t>
  </si>
  <si>
    <t>OP-56_4x30_9-15cm_20mW_50um.3.txt_long_corrected.txt</t>
  </si>
  <si>
    <t>OP-60_4x30_9-15cm_20mW_50um.0.txt_long_corrected.txt</t>
  </si>
  <si>
    <t>OP-60_4x30_9-15cm_20mW_50um.1.txt_long_corrected.txt</t>
  </si>
  <si>
    <t>OP-60_4x30_9-15cm_20mW_50um.2.txt_long_corrected.txt</t>
  </si>
  <si>
    <t>OP-60_4x30_9-15cm_20mW_50um.3.txt_long_corrected.txt</t>
  </si>
  <si>
    <t>Lennart samples by Diego</t>
  </si>
  <si>
    <t>M21-EPMA</t>
  </si>
  <si>
    <t>M33-EPMA</t>
  </si>
  <si>
    <t>M35-EPMA</t>
  </si>
  <si>
    <t>s1-EPMA</t>
  </si>
  <si>
    <t>s6-EPMA</t>
  </si>
  <si>
    <t>???</t>
  </si>
  <si>
    <t>M03</t>
  </si>
  <si>
    <t>M09</t>
  </si>
  <si>
    <t>M30</t>
  </si>
  <si>
    <t>15-66-Ol</t>
  </si>
  <si>
    <t>11-110-Ol</t>
  </si>
  <si>
    <t>11-112-Ol</t>
  </si>
  <si>
    <t>11-116-Ol</t>
  </si>
  <si>
    <t>11-117-Ol</t>
  </si>
  <si>
    <t>11-124-Ol</t>
  </si>
  <si>
    <t>15-155-Ol</t>
  </si>
  <si>
    <t>15-188-Ol</t>
  </si>
  <si>
    <t>15-189-Ol</t>
  </si>
  <si>
    <t>15-191-Ol</t>
  </si>
  <si>
    <t>15-192-Ol</t>
  </si>
  <si>
    <t>15-193-Ol</t>
  </si>
  <si>
    <t>15-194-Ol</t>
  </si>
  <si>
    <t>3-14-Plag</t>
  </si>
  <si>
    <t>3-25-Plag</t>
  </si>
  <si>
    <t>15-65-Plag</t>
  </si>
  <si>
    <t>6-94-Plag</t>
  </si>
  <si>
    <t>13-165-Plag</t>
  </si>
  <si>
    <t>15-195-Plag</t>
  </si>
  <si>
    <t>15-196-Plag</t>
  </si>
  <si>
    <t>15-197-Plag</t>
  </si>
  <si>
    <t>15-201-Plag</t>
  </si>
  <si>
    <t>15-202-Plag</t>
  </si>
  <si>
    <t>15-203-Plag</t>
  </si>
  <si>
    <t>14-213-Plag</t>
  </si>
  <si>
    <t>26-336-Cpx</t>
  </si>
  <si>
    <t>26-337-Cpx</t>
  </si>
  <si>
    <t>26-342-Cpx</t>
  </si>
  <si>
    <t>26-343-Cpx</t>
  </si>
  <si>
    <t>OP5-08</t>
  </si>
  <si>
    <t>OP5-19</t>
  </si>
  <si>
    <t>OP5-32</t>
  </si>
  <si>
    <t>LSB 39-45</t>
  </si>
  <si>
    <t>LSB 39-45-h-0</t>
  </si>
  <si>
    <t>LSB 39-45-h-1</t>
  </si>
  <si>
    <t>LSB 39-45-h-2</t>
  </si>
  <si>
    <t>LSB 39-45-h-3</t>
  </si>
  <si>
    <t>HSB 42-6-h-0</t>
  </si>
  <si>
    <t>HSB 42-6-h-1</t>
  </si>
  <si>
    <t>HSB 42-6-h-2</t>
  </si>
  <si>
    <t>HSB 42-6-h-3</t>
  </si>
  <si>
    <t>AB64</t>
  </si>
  <si>
    <t>Vulc1</t>
  </si>
  <si>
    <t xml:space="preserve">Basalt </t>
  </si>
  <si>
    <t>Latite</t>
  </si>
  <si>
    <t>19-1_ABP-F-1-5</t>
  </si>
  <si>
    <t>19-2_ABP-F-1-5</t>
  </si>
  <si>
    <t>HSB 42</t>
  </si>
  <si>
    <t>M2-4.2</t>
  </si>
  <si>
    <t>M6-2.8</t>
  </si>
  <si>
    <t>M13-1.7</t>
  </si>
  <si>
    <t>M11-5.0</t>
  </si>
  <si>
    <t>M16-1.1</t>
  </si>
  <si>
    <t>M18-0.4</t>
  </si>
  <si>
    <t>M33-6.3</t>
  </si>
  <si>
    <t>M38-7.4</t>
  </si>
  <si>
    <t>M41-0.3</t>
  </si>
  <si>
    <t>M51-2.2</t>
  </si>
  <si>
    <t>RDC156-wet</t>
  </si>
  <si>
    <t>12-143-Ol</t>
  </si>
  <si>
    <t>Andesite</t>
  </si>
  <si>
    <t>4T</t>
  </si>
  <si>
    <t>Equation 3</t>
  </si>
  <si>
    <r>
      <t>a</t>
    </r>
    <r>
      <rPr>
        <vertAlign val="subscript"/>
        <sz val="11"/>
        <color theme="1"/>
        <rFont val="Calibri"/>
        <family val="2"/>
        <scheme val="minor"/>
      </rPr>
      <t>3</t>
    </r>
  </si>
  <si>
    <r>
      <t>b</t>
    </r>
    <r>
      <rPr>
        <vertAlign val="subscript"/>
        <sz val="11"/>
        <color theme="1"/>
        <rFont val="Calibri"/>
        <family val="2"/>
        <scheme val="minor"/>
      </rPr>
      <t>3</t>
    </r>
  </si>
  <si>
    <r>
      <t>c</t>
    </r>
    <r>
      <rPr>
        <vertAlign val="subscript"/>
        <sz val="11"/>
        <color theme="1"/>
        <rFont val="Calibri"/>
        <family val="2"/>
        <scheme val="minor"/>
      </rPr>
      <t>3</t>
    </r>
  </si>
  <si>
    <r>
      <t>d</t>
    </r>
    <r>
      <rPr>
        <vertAlign val="subscript"/>
        <sz val="11"/>
        <color theme="1"/>
        <rFont val="Calibri"/>
        <family val="2"/>
        <scheme val="minor"/>
      </rPr>
      <t>3</t>
    </r>
  </si>
  <si>
    <r>
      <t>e</t>
    </r>
    <r>
      <rPr>
        <vertAlign val="subscript"/>
        <sz val="11"/>
        <color theme="1"/>
        <rFont val="Calibri"/>
        <family val="2"/>
        <scheme val="minor"/>
      </rPr>
      <t>3</t>
    </r>
  </si>
  <si>
    <r>
      <t>f</t>
    </r>
    <r>
      <rPr>
        <vertAlign val="subscript"/>
        <sz val="11"/>
        <color theme="1"/>
        <rFont val="Calibri"/>
        <family val="2"/>
        <scheme val="minor"/>
      </rPr>
      <t>3</t>
    </r>
  </si>
  <si>
    <r>
      <t>g</t>
    </r>
    <r>
      <rPr>
        <vertAlign val="subscript"/>
        <sz val="11"/>
        <color theme="1"/>
        <rFont val="Calibri"/>
        <family val="2"/>
        <scheme val="minor"/>
      </rPr>
      <t>3</t>
    </r>
  </si>
  <si>
    <r>
      <t>h</t>
    </r>
    <r>
      <rPr>
        <vertAlign val="subscript"/>
        <sz val="11"/>
        <color theme="1"/>
        <rFont val="Calibri"/>
        <family val="2"/>
        <scheme val="minor"/>
      </rPr>
      <t>3</t>
    </r>
  </si>
  <si>
    <r>
      <t>i</t>
    </r>
    <r>
      <rPr>
        <vertAlign val="subscript"/>
        <sz val="11"/>
        <color theme="1"/>
        <rFont val="Calibri"/>
        <family val="2"/>
        <scheme val="minor"/>
      </rPr>
      <t>3</t>
    </r>
  </si>
  <si>
    <r>
      <t>j</t>
    </r>
    <r>
      <rPr>
        <vertAlign val="subscript"/>
        <sz val="11"/>
        <color theme="1"/>
        <rFont val="Calibri"/>
        <family val="2"/>
        <scheme val="minor"/>
      </rPr>
      <t>3</t>
    </r>
  </si>
  <si>
    <r>
      <t>k</t>
    </r>
    <r>
      <rPr>
        <vertAlign val="subscript"/>
        <sz val="11"/>
        <color theme="1"/>
        <rFont val="Calibri"/>
        <family val="2"/>
        <scheme val="minor"/>
      </rPr>
      <t>3</t>
    </r>
  </si>
  <si>
    <r>
      <t>l</t>
    </r>
    <r>
      <rPr>
        <vertAlign val="subscript"/>
        <sz val="11"/>
        <color theme="1"/>
        <rFont val="Calibri"/>
        <family val="2"/>
        <scheme val="minor"/>
      </rPr>
      <t>3</t>
    </r>
  </si>
  <si>
    <r>
      <t>m</t>
    </r>
    <r>
      <rPr>
        <vertAlign val="subscript"/>
        <sz val="11"/>
        <color theme="1"/>
        <rFont val="Calibri"/>
        <family val="2"/>
        <scheme val="minor"/>
      </rPr>
      <t>3</t>
    </r>
  </si>
  <si>
    <t>Equation 4</t>
  </si>
  <si>
    <r>
      <t>C</t>
    </r>
    <r>
      <rPr>
        <vertAlign val="subscript"/>
        <sz val="11"/>
        <color theme="1"/>
        <rFont val="Calibri"/>
        <family val="2"/>
        <scheme val="minor"/>
      </rPr>
      <t>3</t>
    </r>
  </si>
  <si>
    <r>
      <t>C</t>
    </r>
    <r>
      <rPr>
        <vertAlign val="subscript"/>
        <sz val="11"/>
        <color theme="1"/>
        <rFont val="Calibri"/>
        <family val="2"/>
        <scheme val="minor"/>
      </rPr>
      <t>4</t>
    </r>
  </si>
  <si>
    <r>
      <t>a</t>
    </r>
    <r>
      <rPr>
        <vertAlign val="subscript"/>
        <sz val="11"/>
        <color theme="1"/>
        <rFont val="Calibri"/>
        <family val="2"/>
        <scheme val="minor"/>
      </rPr>
      <t>4</t>
    </r>
  </si>
  <si>
    <r>
      <t>b</t>
    </r>
    <r>
      <rPr>
        <vertAlign val="subscript"/>
        <sz val="11"/>
        <color theme="1"/>
        <rFont val="Calibri"/>
        <family val="2"/>
        <scheme val="minor"/>
      </rPr>
      <t>4</t>
    </r>
  </si>
  <si>
    <r>
      <t>c</t>
    </r>
    <r>
      <rPr>
        <vertAlign val="subscript"/>
        <sz val="11"/>
        <color theme="1"/>
        <rFont val="Calibri"/>
        <family val="2"/>
        <scheme val="minor"/>
      </rPr>
      <t>4</t>
    </r>
  </si>
  <si>
    <r>
      <t>d</t>
    </r>
    <r>
      <rPr>
        <vertAlign val="subscript"/>
        <sz val="11"/>
        <color theme="1"/>
        <rFont val="Calibri"/>
        <family val="2"/>
        <scheme val="minor"/>
      </rPr>
      <t>4</t>
    </r>
  </si>
  <si>
    <r>
      <t>e</t>
    </r>
    <r>
      <rPr>
        <vertAlign val="subscript"/>
        <sz val="11"/>
        <color theme="1"/>
        <rFont val="Calibri"/>
        <family val="2"/>
        <scheme val="minor"/>
      </rPr>
      <t>4</t>
    </r>
  </si>
  <si>
    <r>
      <t>f</t>
    </r>
    <r>
      <rPr>
        <vertAlign val="subscript"/>
        <sz val="11"/>
        <color theme="1"/>
        <rFont val="Calibri"/>
        <family val="2"/>
        <scheme val="minor"/>
      </rPr>
      <t>4</t>
    </r>
  </si>
  <si>
    <r>
      <t>g</t>
    </r>
    <r>
      <rPr>
        <vertAlign val="subscript"/>
        <sz val="11"/>
        <color theme="1"/>
        <rFont val="Calibri"/>
        <family val="2"/>
        <scheme val="minor"/>
      </rPr>
      <t>4</t>
    </r>
  </si>
  <si>
    <r>
      <t>h</t>
    </r>
    <r>
      <rPr>
        <vertAlign val="subscript"/>
        <sz val="11"/>
        <color theme="1"/>
        <rFont val="Calibri"/>
        <family val="2"/>
        <scheme val="minor"/>
      </rPr>
      <t>4</t>
    </r>
  </si>
  <si>
    <r>
      <t>i</t>
    </r>
    <r>
      <rPr>
        <vertAlign val="subscript"/>
        <sz val="11"/>
        <color theme="1"/>
        <rFont val="Calibri"/>
        <family val="2"/>
        <scheme val="minor"/>
      </rPr>
      <t>4</t>
    </r>
  </si>
  <si>
    <r>
      <t>j</t>
    </r>
    <r>
      <rPr>
        <vertAlign val="subscript"/>
        <sz val="11"/>
        <color theme="1"/>
        <rFont val="Calibri"/>
        <family val="2"/>
        <scheme val="minor"/>
      </rPr>
      <t>4</t>
    </r>
  </si>
  <si>
    <r>
      <t>k</t>
    </r>
    <r>
      <rPr>
        <vertAlign val="subscript"/>
        <sz val="11"/>
        <color theme="1"/>
        <rFont val="Calibri"/>
        <family val="2"/>
        <scheme val="minor"/>
      </rPr>
      <t>4</t>
    </r>
  </si>
  <si>
    <r>
      <t>l</t>
    </r>
    <r>
      <rPr>
        <vertAlign val="subscript"/>
        <sz val="11"/>
        <color theme="1"/>
        <rFont val="Calibri"/>
        <family val="2"/>
        <scheme val="minor"/>
      </rPr>
      <t>4</t>
    </r>
  </si>
  <si>
    <t>Equation 1</t>
  </si>
  <si>
    <r>
      <t>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</t>
    </r>
  </si>
  <si>
    <r>
      <t>C</t>
    </r>
    <r>
      <rPr>
        <b/>
        <vertAlign val="sub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=</t>
    </r>
  </si>
  <si>
    <t>See sheet "Eq. 3 coef."</t>
  </si>
  <si>
    <r>
      <t>H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O/(100-H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O)</t>
    </r>
  </si>
  <si>
    <r>
      <t>H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O wt%</t>
    </r>
  </si>
  <si>
    <t>abs. error</t>
  </si>
  <si>
    <r>
      <t>error</t>
    </r>
    <r>
      <rPr>
        <vertAlign val="superscript"/>
        <sz val="11"/>
        <color theme="1"/>
        <rFont val="Arial"/>
        <family val="2"/>
      </rPr>
      <t>2</t>
    </r>
  </si>
  <si>
    <t>Test data</t>
  </si>
  <si>
    <r>
      <t>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</si>
  <si>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t>Equation 2</t>
  </si>
  <si>
    <r>
      <t>b</t>
    </r>
    <r>
      <rPr>
        <vertAlign val="subscript"/>
        <sz val="11"/>
        <color theme="1"/>
        <rFont val="Arial"/>
        <family val="2"/>
      </rPr>
      <t xml:space="preserve">2 </t>
    </r>
    <r>
      <rPr>
        <sz val="11"/>
        <color theme="1"/>
        <rFont val="Arial"/>
        <family val="2"/>
      </rPr>
      <t>=</t>
    </r>
  </si>
  <si>
    <r>
      <t>C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=</t>
    </r>
  </si>
  <si>
    <t>See sheet "Eq. 4 coef."</t>
  </si>
  <si>
    <t>Calibration data</t>
  </si>
  <si>
    <t>Higher uncertanties</t>
  </si>
  <si>
    <t>Sample label</t>
  </si>
  <si>
    <r>
      <rPr>
        <sz val="11"/>
        <rFont val="Calibri"/>
        <family val="2"/>
      </rPr>
      <t>σ</t>
    </r>
    <r>
      <rPr>
        <sz val="11"/>
        <rFont val="Arial"/>
        <family val="2"/>
      </rPr>
      <t xml:space="preserve"> Rws</t>
    </r>
  </si>
  <si>
    <r>
      <t>H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O/(100-H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O)</t>
    </r>
  </si>
  <si>
    <r>
      <rPr>
        <sz val="11"/>
        <rFont val="Calibri"/>
        <family val="2"/>
      </rPr>
      <t>σ</t>
    </r>
    <r>
      <rPr>
        <sz val="11"/>
        <rFont val="Arial"/>
        <family val="2"/>
      </rPr>
      <t>% Rws</t>
    </r>
  </si>
  <si>
    <r>
      <rPr>
        <sz val="11"/>
        <rFont val="Calibri"/>
        <family val="2"/>
      </rPr>
      <t>σ</t>
    </r>
    <r>
      <rPr>
        <sz val="11"/>
        <rFont val="Arial"/>
        <family val="2"/>
      </rPr>
      <t xml:space="preserve"> H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O</t>
    </r>
  </si>
  <si>
    <r>
      <rPr>
        <sz val="11"/>
        <rFont val="Calibri"/>
        <family val="2"/>
      </rPr>
      <t>σ</t>
    </r>
    <r>
      <rPr>
        <sz val="11"/>
        <rFont val="Arial"/>
        <family val="2"/>
      </rPr>
      <t>% H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O</t>
    </r>
  </si>
  <si>
    <r>
      <t>Nominal H</t>
    </r>
    <r>
      <rPr>
        <b/>
        <vertAlign val="sub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O wt%</t>
    </r>
  </si>
  <si>
    <t>intr.∆NNO</t>
  </si>
  <si>
    <t>∆NNO calc.</t>
  </si>
  <si>
    <r>
      <t>aH</t>
    </r>
    <r>
      <rPr>
        <i/>
        <vertAlign val="subscript"/>
        <sz val="11"/>
        <rFont val="Arial"/>
        <family val="2"/>
      </rPr>
      <t>2</t>
    </r>
    <r>
      <rPr>
        <i/>
        <sz val="11"/>
        <rFont val="Arial"/>
        <family val="2"/>
      </rPr>
      <t>O</t>
    </r>
  </si>
  <si>
    <r>
      <t>SiO</t>
    </r>
    <r>
      <rPr>
        <vertAlign val="subscript"/>
        <sz val="11"/>
        <rFont val="Arial"/>
        <family val="2"/>
      </rPr>
      <t>2</t>
    </r>
  </si>
  <si>
    <r>
      <t>TiO</t>
    </r>
    <r>
      <rPr>
        <vertAlign val="subscript"/>
        <sz val="11"/>
        <rFont val="Arial"/>
        <family val="2"/>
      </rPr>
      <t>2</t>
    </r>
  </si>
  <si>
    <r>
      <t>Al2O</t>
    </r>
    <r>
      <rPr>
        <vertAlign val="subscript"/>
        <sz val="11"/>
        <rFont val="Arial"/>
        <family val="2"/>
      </rPr>
      <t>3</t>
    </r>
  </si>
  <si>
    <r>
      <t>Na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O</t>
    </r>
  </si>
  <si>
    <r>
      <t>K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O</t>
    </r>
  </si>
  <si>
    <r>
      <t>P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O</t>
    </r>
    <r>
      <rPr>
        <vertAlign val="subscript"/>
        <sz val="11"/>
        <rFont val="Arial"/>
        <family val="2"/>
      </rPr>
      <t>5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</si>
  <si>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/FeO 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</si>
  <si>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(wt%)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</si>
  <si>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</t>
    </r>
  </si>
  <si>
    <t xml:space="preserve">FeO </t>
  </si>
  <si>
    <t>Hydrous formula on the 8-oxygens basis</t>
  </si>
  <si>
    <r>
      <t>Fe</t>
    </r>
    <r>
      <rPr>
        <b/>
        <vertAlign val="superscript"/>
        <sz val="11"/>
        <rFont val="Calibri"/>
        <family val="2"/>
        <scheme val="minor"/>
      </rPr>
      <t>3+</t>
    </r>
  </si>
  <si>
    <r>
      <t>Fe</t>
    </r>
    <r>
      <rPr>
        <b/>
        <vertAlign val="superscript"/>
        <sz val="11"/>
        <rFont val="Calibri"/>
        <family val="2"/>
        <scheme val="minor"/>
      </rPr>
      <t>2+</t>
    </r>
  </si>
  <si>
    <t>Anhydrous formula on the 8-oxygens basis</t>
  </si>
  <si>
    <r>
      <t>H/</t>
    </r>
    <r>
      <rPr>
        <b/>
        <sz val="11"/>
        <rFont val="Times New Roman"/>
        <family val="1"/>
      </rPr>
      <t>∑</t>
    </r>
    <r>
      <rPr>
        <b/>
        <sz val="11"/>
        <rFont val="Calibri"/>
        <family val="2"/>
        <scheme val="minor"/>
      </rPr>
      <t>cat.</t>
    </r>
  </si>
  <si>
    <r>
      <t>Water composition, R</t>
    </r>
    <r>
      <rPr>
        <b/>
        <vertAlign val="subscript"/>
        <sz val="11"/>
        <rFont val="Arial"/>
        <family val="2"/>
      </rPr>
      <t>w/s</t>
    </r>
    <r>
      <rPr>
        <b/>
        <sz val="11"/>
        <rFont val="Arial"/>
        <family val="2"/>
      </rPr>
      <t xml:space="preserve"> and pysico-chemical conditions</t>
    </r>
  </si>
  <si>
    <t>Input data (input your data only in the green cell)</t>
  </si>
  <si>
    <t>Calculations (do not replace yellow cell content)</t>
  </si>
  <si>
    <r>
      <t>Hydrous composition, estimated Fe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O</t>
    </r>
    <r>
      <rPr>
        <b/>
        <vertAlign val="sub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 xml:space="preserve"> and FeO contents (wt%)</t>
    </r>
  </si>
  <si>
    <r>
      <t>Anhydrous composition, estimated Fe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O</t>
    </r>
    <r>
      <rPr>
        <b/>
        <vertAlign val="sub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 xml:space="preserve"> and FeO (wt%)</t>
    </r>
  </si>
  <si>
    <r>
      <t>Anhydrous composition, iron as FeO</t>
    </r>
    <r>
      <rPr>
        <b/>
        <vertAlign val="subscript"/>
        <sz val="11"/>
        <rFont val="Arial"/>
        <family val="2"/>
      </rPr>
      <t>tot</t>
    </r>
    <r>
      <rPr>
        <b/>
        <sz val="11"/>
        <rFont val="Arial"/>
        <family val="2"/>
      </rPr>
      <t xml:space="preserve"> (wt%)</t>
    </r>
  </si>
  <si>
    <t>Min</t>
  </si>
  <si>
    <t>Max</t>
  </si>
  <si>
    <t>Average</t>
  </si>
  <si>
    <r>
      <t>H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 wt%</t>
    </r>
  </si>
  <si>
    <r>
      <t>R</t>
    </r>
    <r>
      <rPr>
        <b/>
        <vertAlign val="subscript"/>
        <sz val="11"/>
        <rFont val="Arial"/>
        <family val="2"/>
      </rPr>
      <t>w/s</t>
    </r>
  </si>
  <si>
    <r>
      <t>R</t>
    </r>
    <r>
      <rPr>
        <b/>
        <vertAlign val="subscript"/>
        <sz val="11"/>
        <rFont val="Arial"/>
        <family val="2"/>
      </rPr>
      <t>w/s</t>
    </r>
    <r>
      <rPr>
        <b/>
        <vertAlign val="superscript"/>
        <sz val="11"/>
        <rFont val="Arial"/>
        <family val="2"/>
      </rPr>
      <t>2</t>
    </r>
  </si>
  <si>
    <r>
      <t>SiO</t>
    </r>
    <r>
      <rPr>
        <b/>
        <vertAlign val="subscript"/>
        <sz val="11"/>
        <rFont val="Arial"/>
        <family val="2"/>
      </rPr>
      <t>2</t>
    </r>
  </si>
  <si>
    <r>
      <t>TiO</t>
    </r>
    <r>
      <rPr>
        <b/>
        <vertAlign val="subscript"/>
        <sz val="11"/>
        <rFont val="Arial"/>
        <family val="2"/>
      </rPr>
      <t>2</t>
    </r>
  </si>
  <si>
    <r>
      <t>Al2O</t>
    </r>
    <r>
      <rPr>
        <b/>
        <vertAlign val="subscript"/>
        <sz val="11"/>
        <rFont val="Arial"/>
        <family val="2"/>
      </rPr>
      <t>3</t>
    </r>
  </si>
  <si>
    <r>
      <t>Na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</t>
    </r>
  </si>
  <si>
    <r>
      <t>K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</t>
    </r>
  </si>
  <si>
    <r>
      <t>P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</t>
    </r>
    <r>
      <rPr>
        <b/>
        <vertAlign val="subscript"/>
        <sz val="11"/>
        <rFont val="Arial"/>
        <family val="2"/>
      </rPr>
      <t>5</t>
    </r>
  </si>
  <si>
    <r>
      <t>Fe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  <r>
      <rPr>
        <b/>
        <vertAlign val="subscript"/>
        <sz val="12"/>
        <rFont val="Arial"/>
        <family val="2"/>
      </rPr>
      <t>3</t>
    </r>
    <r>
      <rPr>
        <b/>
        <sz val="12"/>
        <rFont val="Arial"/>
        <family val="2"/>
      </rPr>
      <t xml:space="preserve"> </t>
    </r>
  </si>
  <si>
    <t>Ridolfi, F. and González-García, D. (2025) “Towards an understanding of the compositional effect on micro-Raman spectroscopy and a robust in-situ quantification of H2O in silicate glasses”, Volcanica, 8(2), pp. 369–386. doi: 10.30909/vol/qkcb1237.</t>
  </si>
  <si>
    <r>
      <rPr>
        <sz val="16"/>
        <rFont val="Calibri"/>
        <family val="2"/>
        <scheme val="minor"/>
      </rPr>
      <t xml:space="preserve">This Supplement reports the glass results of </t>
    </r>
    <r>
      <rPr>
        <b/>
        <sz val="16"/>
        <rFont val="Calibri"/>
        <family val="2"/>
        <scheme val="minor"/>
      </rPr>
      <t xml:space="preserve">Ridolfi and González-García (2025; </t>
    </r>
    <r>
      <rPr>
        <b/>
        <i/>
        <sz val="16"/>
        <rFont val="Calibri"/>
        <family val="2"/>
        <scheme val="minor"/>
      </rPr>
      <t xml:space="preserve">Volcanica) </t>
    </r>
    <r>
      <rPr>
        <sz val="16"/>
        <rFont val="Calibri"/>
        <family val="2"/>
        <scheme val="minor"/>
      </rPr>
      <t xml:space="preserve">obtained by KFT, FTIR, EPMA and micro-Raman spectroscopy at the Lebniz University of Hanover (LUH). It operates within </t>
    </r>
    <r>
      <rPr>
        <b/>
        <sz val="16"/>
        <rFont val="Calibri"/>
        <family val="2"/>
        <scheme val="minor"/>
      </rPr>
      <t>Microsoft Excel (Office 2010)</t>
    </r>
    <r>
      <rPr>
        <sz val="16"/>
        <rFont val="Calibri"/>
        <family val="2"/>
        <scheme val="minor"/>
      </rPr>
      <t xml:space="preserve"> and can be used as a template for other laboratories/users to calibrate micro-Raman spectriscopy for water determination in glasses by following these </t>
    </r>
    <r>
      <rPr>
        <b/>
        <sz val="16"/>
        <rFont val="Calibri"/>
        <family val="2"/>
        <scheme val="minor"/>
      </rPr>
      <t>6 steps</t>
    </r>
    <r>
      <rPr>
        <sz val="16"/>
        <rFont val="Calibri"/>
        <family val="2"/>
        <scheme val="minor"/>
      </rPr>
      <t>: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(i)</t>
    </r>
    <r>
      <rPr>
        <sz val="16"/>
        <color theme="1"/>
        <rFont val="Calibri"/>
        <family val="2"/>
        <scheme val="minor"/>
      </rPr>
      <t xml:space="preserve"> Input your data in the green cells of </t>
    </r>
    <r>
      <rPr>
        <b/>
        <sz val="16"/>
        <color theme="1"/>
        <rFont val="Calibri"/>
        <family val="2"/>
        <scheme val="minor"/>
      </rPr>
      <t>"Data and calc"</t>
    </r>
    <r>
      <rPr>
        <sz val="16"/>
        <color theme="1"/>
        <rFont val="Calibri"/>
        <family val="2"/>
        <scheme val="minor"/>
      </rPr>
      <t xml:space="preserve"> sheet and do not modify the yellow ones reporting calculations; </t>
    </r>
    <r>
      <rPr>
        <b/>
        <sz val="16"/>
        <color theme="1"/>
        <rFont val="Calibri"/>
        <family val="2"/>
        <scheme val="minor"/>
      </rPr>
      <t>(ii)</t>
    </r>
    <r>
      <rPr>
        <sz val="16"/>
        <color theme="1"/>
        <rFont val="Calibri"/>
        <family val="2"/>
        <scheme val="minor"/>
      </rPr>
      <t xml:space="preserve"> plots your data in H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>O/(100-H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>O) and H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>O wt% vs. R</t>
    </r>
    <r>
      <rPr>
        <vertAlign val="subscript"/>
        <sz val="16"/>
        <color theme="1"/>
        <rFont val="Calibri"/>
        <family val="2"/>
        <scheme val="minor"/>
      </rPr>
      <t>w/s</t>
    </r>
    <r>
      <rPr>
        <sz val="16"/>
        <color theme="1"/>
        <rFont val="Calibri"/>
        <family val="2"/>
        <scheme val="minor"/>
      </rPr>
      <t xml:space="preserve"> diagrams in order to obtain coefficients for the equations 1 and 2 (e.g. Fig. 7 in </t>
    </r>
    <r>
      <rPr>
        <b/>
        <sz val="16"/>
        <color theme="1"/>
        <rFont val="Calibri"/>
        <family val="2"/>
        <scheme val="minor"/>
      </rPr>
      <t>Ridolfi and González-García (2025; Volcanica)</t>
    </r>
    <r>
      <rPr>
        <sz val="16"/>
        <color theme="1"/>
        <rFont val="Calibri"/>
        <family val="2"/>
        <scheme val="minor"/>
      </rPr>
      <t xml:space="preserve">; </t>
    </r>
    <r>
      <rPr>
        <b/>
        <sz val="16"/>
        <color theme="1"/>
        <rFont val="Calibri"/>
        <family val="2"/>
        <scheme val="minor"/>
      </rPr>
      <t>(iii)</t>
    </r>
    <r>
      <rPr>
        <sz val="16"/>
        <color theme="1"/>
        <rFont val="Calibri"/>
        <family val="2"/>
        <scheme val="minor"/>
      </rPr>
      <t xml:space="preserve"> paste the a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>, C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>, a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>, b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and C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coefficients in cells CY2, DA2, DE2, DG2 and DI2, respectively; </t>
    </r>
    <r>
      <rPr>
        <b/>
        <sz val="16"/>
        <color theme="1"/>
        <rFont val="Calibri"/>
        <family val="2"/>
        <scheme val="minor"/>
      </rPr>
      <t>(iv)</t>
    </r>
    <r>
      <rPr>
        <sz val="16"/>
        <color theme="1"/>
        <rFont val="Calibri"/>
        <family val="2"/>
        <scheme val="minor"/>
      </rPr>
      <t xml:space="preserve"> paste the data of </t>
    </r>
    <r>
      <rPr>
        <b/>
        <sz val="16"/>
        <color theme="1"/>
        <rFont val="Calibri"/>
        <family val="2"/>
        <scheme val="minor"/>
      </rPr>
      <t>"Anhydrous composition, estimated Fe</t>
    </r>
    <r>
      <rPr>
        <b/>
        <vertAlign val="subscript"/>
        <sz val="16"/>
        <color theme="1"/>
        <rFont val="Calibri"/>
        <family val="2"/>
        <scheme val="minor"/>
      </rPr>
      <t>2</t>
    </r>
    <r>
      <rPr>
        <b/>
        <sz val="16"/>
        <color theme="1"/>
        <rFont val="Calibri"/>
        <family val="2"/>
        <scheme val="minor"/>
      </rPr>
      <t>O</t>
    </r>
    <r>
      <rPr>
        <b/>
        <vertAlign val="subscript"/>
        <sz val="16"/>
        <color theme="1"/>
        <rFont val="Calibri"/>
        <family val="2"/>
        <scheme val="minor"/>
      </rPr>
      <t>3</t>
    </r>
    <r>
      <rPr>
        <b/>
        <sz val="16"/>
        <color theme="1"/>
        <rFont val="Calibri"/>
        <family val="2"/>
        <scheme val="minor"/>
      </rPr>
      <t xml:space="preserve"> and FeO (wt%)"</t>
    </r>
    <r>
      <rPr>
        <sz val="16"/>
        <color theme="1"/>
        <rFont val="Calibri"/>
        <family val="2"/>
        <scheme val="minor"/>
      </rPr>
      <t xml:space="preserve"> and </t>
    </r>
    <r>
      <rPr>
        <b/>
        <sz val="16"/>
        <color theme="1"/>
        <rFont val="Calibri"/>
        <family val="2"/>
        <scheme val="minor"/>
      </rPr>
      <t>"Anhydrous composition, iron as FeO</t>
    </r>
    <r>
      <rPr>
        <b/>
        <vertAlign val="subscript"/>
        <sz val="16"/>
        <color theme="1"/>
        <rFont val="Calibri"/>
        <family val="2"/>
        <scheme val="minor"/>
      </rPr>
      <t>tot</t>
    </r>
    <r>
      <rPr>
        <b/>
        <sz val="16"/>
        <color theme="1"/>
        <rFont val="Calibri"/>
        <family val="2"/>
        <scheme val="minor"/>
      </rPr>
      <t xml:space="preserve"> (wt%)"</t>
    </r>
    <r>
      <rPr>
        <sz val="16"/>
        <color theme="1"/>
        <rFont val="Calibri"/>
        <family val="2"/>
        <scheme val="minor"/>
      </rPr>
      <t xml:space="preserve"> sections in new sheets together with H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>O (wt%), R</t>
    </r>
    <r>
      <rPr>
        <vertAlign val="subscript"/>
        <sz val="16"/>
        <color theme="1"/>
        <rFont val="Calibri"/>
        <family val="2"/>
        <scheme val="minor"/>
      </rPr>
      <t>w/s</t>
    </r>
    <r>
      <rPr>
        <vertAlign val="super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and R</t>
    </r>
    <r>
      <rPr>
        <vertAlign val="subscript"/>
        <sz val="16"/>
        <color theme="1"/>
        <rFont val="Calibri"/>
        <family val="2"/>
        <scheme val="minor"/>
      </rPr>
      <t>w/s</t>
    </r>
    <r>
      <rPr>
        <sz val="16"/>
        <color theme="1"/>
        <rFont val="Calibri"/>
        <family val="2"/>
        <scheme val="minor"/>
      </rPr>
      <t xml:space="preserve"> data; </t>
    </r>
    <r>
      <rPr>
        <b/>
        <sz val="16"/>
        <color theme="1"/>
        <rFont val="Calibri"/>
        <family val="2"/>
        <scheme val="minor"/>
      </rPr>
      <t>(v)</t>
    </r>
    <r>
      <rPr>
        <sz val="16"/>
        <color theme="1"/>
        <rFont val="Calibri"/>
        <family val="2"/>
        <scheme val="minor"/>
      </rPr>
      <t xml:space="preserve"> perform multivariate-regression analyses to obtain the a</t>
    </r>
    <r>
      <rPr>
        <vertAlign val="subscript"/>
        <sz val="16"/>
        <color theme="1"/>
        <rFont val="Calibri"/>
        <family val="2"/>
        <scheme val="minor"/>
      </rPr>
      <t>3</t>
    </r>
    <r>
      <rPr>
        <sz val="16"/>
        <color theme="1"/>
        <rFont val="Calibri"/>
        <family val="2"/>
        <scheme val="minor"/>
      </rPr>
      <t xml:space="preserve"> - m</t>
    </r>
    <r>
      <rPr>
        <vertAlign val="subscript"/>
        <sz val="16"/>
        <color theme="1"/>
        <rFont val="Calibri"/>
        <family val="2"/>
        <scheme val="minor"/>
      </rPr>
      <t>3</t>
    </r>
    <r>
      <rPr>
        <sz val="16"/>
        <color theme="1"/>
        <rFont val="Calibri"/>
        <family val="2"/>
        <scheme val="minor"/>
      </rPr>
      <t xml:space="preserve"> and a</t>
    </r>
    <r>
      <rPr>
        <vertAlign val="subscript"/>
        <sz val="16"/>
        <color theme="1"/>
        <rFont val="Calibri"/>
        <family val="2"/>
        <scheme val="minor"/>
      </rPr>
      <t>4</t>
    </r>
    <r>
      <rPr>
        <sz val="16"/>
        <color theme="1"/>
        <rFont val="Calibri"/>
        <family val="2"/>
        <scheme val="minor"/>
      </rPr>
      <t xml:space="preserve"> - l</t>
    </r>
    <r>
      <rPr>
        <vertAlign val="subscript"/>
        <sz val="16"/>
        <color theme="1"/>
        <rFont val="Calibri"/>
        <family val="2"/>
        <scheme val="minor"/>
      </rPr>
      <t>4</t>
    </r>
    <r>
      <rPr>
        <sz val="16"/>
        <color theme="1"/>
        <rFont val="Calibri"/>
        <family val="2"/>
        <scheme val="minor"/>
      </rPr>
      <t xml:space="preserve"> coefficients for equations 3 and 4, respectively; </t>
    </r>
    <r>
      <rPr>
        <b/>
        <sz val="16"/>
        <color theme="1"/>
        <rFont val="Calibri"/>
        <family val="2"/>
        <scheme val="minor"/>
      </rPr>
      <t>(vi)</t>
    </r>
    <r>
      <rPr>
        <sz val="16"/>
        <color theme="1"/>
        <rFont val="Calibri"/>
        <family val="2"/>
        <scheme val="minor"/>
      </rPr>
      <t xml:space="preserve"> paste the coefficients and statistic values in sheets </t>
    </r>
    <r>
      <rPr>
        <b/>
        <sz val="16"/>
        <color theme="1"/>
        <rFont val="Calibri"/>
        <family val="2"/>
        <scheme val="minor"/>
      </rPr>
      <t>"Eq. 3 coef."</t>
    </r>
    <r>
      <rPr>
        <sz val="16"/>
        <color theme="1"/>
        <rFont val="Calibri"/>
        <family val="2"/>
        <scheme val="minor"/>
      </rPr>
      <t xml:space="preserve"> and </t>
    </r>
    <r>
      <rPr>
        <b/>
        <sz val="16"/>
        <color theme="1"/>
        <rFont val="Calibri"/>
        <family val="2"/>
        <scheme val="minor"/>
      </rPr>
      <t xml:space="preserve">"Eq. 4 coef.". </t>
    </r>
    <r>
      <rPr>
        <sz val="16"/>
        <color theme="1"/>
        <rFont val="Calibri"/>
        <family val="2"/>
        <scheme val="minor"/>
      </rPr>
      <t xml:space="preserve">If you need more lines, copy any line, paste it in new lines and start again from </t>
    </r>
    <r>
      <rPr>
        <b/>
        <sz val="16"/>
        <color theme="1"/>
        <rFont val="Calibri"/>
        <family val="2"/>
        <scheme val="minor"/>
      </rPr>
      <t>(i)</t>
    </r>
    <r>
      <rPr>
        <sz val="16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</si>
</sst>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"/>
    <numFmt numFmtId="166" formatCode="####.000"/>
    <numFmt numFmtId="167" formatCode="0.000E+00"/>
    <numFmt numFmtId="168" formatCode="#,##0.0000"/>
    <numFmt numFmtId="169" formatCode="0.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30"/>
      <color rgb="FFFF0000"/>
      <name val="Calibri"/>
      <family val="2"/>
      <scheme val="minor"/>
    </font>
    <font>
      <sz val="25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color indexed="8"/>
      <name val="Courier New"/>
      <family val="3"/>
    </font>
    <font>
      <b/>
      <vertAlign val="subscript"/>
      <sz val="10"/>
      <name val="Times New Roman"/>
      <family val="1"/>
    </font>
    <font>
      <sz val="9"/>
      <color indexed="8"/>
      <name val="Arial"/>
      <family val="2"/>
    </font>
    <font>
      <sz val="9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vertAlign val="subscript"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sz val="12"/>
      <name val="Arial"/>
      <family val="2"/>
    </font>
    <font>
      <i/>
      <sz val="11"/>
      <name val="Arial"/>
      <family val="2"/>
    </font>
    <font>
      <sz val="1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vertAlign val="subscript"/>
      <sz val="11"/>
      <name val="Arial"/>
      <family val="2"/>
    </font>
    <font>
      <b/>
      <vertAlign val="subscript"/>
      <sz val="10"/>
      <color rgb="FFFF0000"/>
      <name val="Arial"/>
      <family val="2"/>
    </font>
    <font>
      <i/>
      <vertAlign val="subscript"/>
      <sz val="11"/>
      <name val="Arial"/>
      <family val="2"/>
    </font>
    <font>
      <vertAlign val="subscript"/>
      <sz val="12"/>
      <name val="Arial"/>
      <family val="2"/>
    </font>
    <font>
      <b/>
      <vertAlign val="subscript"/>
      <sz val="12"/>
      <name val="Arial"/>
      <family val="2"/>
    </font>
    <font>
      <b/>
      <sz val="12"/>
      <color rgb="FFFF0000"/>
      <name val="Arial"/>
      <family val="2"/>
    </font>
    <font>
      <b/>
      <vertAlign val="superscript"/>
      <sz val="11"/>
      <name val="Calibri"/>
      <family val="2"/>
      <scheme val="minor"/>
    </font>
    <font>
      <b/>
      <sz val="11"/>
      <name val="Times New Roman"/>
      <family val="1"/>
    </font>
    <font>
      <b/>
      <vertAlign val="subscript"/>
      <sz val="11"/>
      <name val="Arial"/>
      <family val="2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b/>
      <vertAlign val="subscript"/>
      <sz val="16"/>
      <color theme="1"/>
      <name val="Calibri"/>
      <family val="2"/>
      <scheme val="minor"/>
    </font>
    <font>
      <b/>
      <vertAlign val="superscript"/>
      <sz val="11"/>
      <name val="Arial"/>
      <family val="2"/>
    </font>
    <font>
      <sz val="16"/>
      <color theme="1" tint="0.14999847407452621"/>
      <name val="Roboto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CF264"/>
        <bgColor indexed="64"/>
      </patternFill>
    </fill>
    <fill>
      <patternFill patternType="solid">
        <fgColor rgb="FF0AD457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3">
    <xf numFmtId="0" fontId="0" fillId="0" borderId="0" xfId="0"/>
    <xf numFmtId="0" fontId="0" fillId="0" borderId="10" xfId="0" applyBorder="1"/>
    <xf numFmtId="0" fontId="0" fillId="0" borderId="11" xfId="0" applyBorder="1"/>
    <xf numFmtId="0" fontId="16" fillId="0" borderId="0" xfId="0" applyFont="1"/>
    <xf numFmtId="0" fontId="16" fillId="0" borderId="10" xfId="0" applyFont="1" applyBorder="1"/>
    <xf numFmtId="0" fontId="16" fillId="0" borderId="11" xfId="0" applyFont="1" applyBorder="1"/>
    <xf numFmtId="0" fontId="0" fillId="0" borderId="13" xfId="0" applyBorder="1"/>
    <xf numFmtId="0" fontId="16" fillId="0" borderId="13" xfId="0" applyFont="1" applyBorder="1"/>
    <xf numFmtId="2" fontId="0" fillId="0" borderId="0" xfId="0" applyNumberFormat="1"/>
    <xf numFmtId="2" fontId="0" fillId="0" borderId="10" xfId="0" applyNumberFormat="1" applyBorder="1"/>
    <xf numFmtId="2" fontId="0" fillId="0" borderId="13" xfId="0" applyNumberFormat="1" applyBorder="1"/>
    <xf numFmtId="0" fontId="24" fillId="0" borderId="0" xfId="0" applyFont="1"/>
    <xf numFmtId="0" fontId="25" fillId="0" borderId="0" xfId="0" applyFont="1"/>
    <xf numFmtId="0" fontId="26" fillId="35" borderId="16" xfId="0" applyFont="1" applyFill="1" applyBorder="1"/>
    <xf numFmtId="0" fontId="27" fillId="35" borderId="17" xfId="0" applyFont="1" applyFill="1" applyBorder="1" applyAlignment="1">
      <alignment horizontal="center"/>
    </xf>
    <xf numFmtId="0" fontId="27" fillId="35" borderId="17" xfId="0" applyFont="1" applyFill="1" applyBorder="1"/>
    <xf numFmtId="0" fontId="27" fillId="35" borderId="18" xfId="0" applyFont="1" applyFill="1" applyBorder="1"/>
    <xf numFmtId="0" fontId="28" fillId="0" borderId="0" xfId="0" applyFont="1"/>
    <xf numFmtId="0" fontId="27" fillId="35" borderId="19" xfId="0" applyFont="1" applyFill="1" applyBorder="1"/>
    <xf numFmtId="0" fontId="26" fillId="35" borderId="0" xfId="0" applyFont="1" applyFill="1" applyAlignment="1">
      <alignment horizontal="center"/>
    </xf>
    <xf numFmtId="0" fontId="26" fillId="35" borderId="0" xfId="0" applyFont="1" applyFill="1"/>
    <xf numFmtId="0" fontId="26" fillId="35" borderId="20" xfId="0" applyFont="1" applyFill="1" applyBorder="1"/>
    <xf numFmtId="0" fontId="30" fillId="0" borderId="21" xfId="0" applyFont="1" applyBorder="1" applyAlignment="1">
      <alignment horizontal="left" vertical="top" wrapText="1"/>
    </xf>
    <xf numFmtId="166" fontId="30" fillId="0" borderId="22" xfId="0" applyNumberFormat="1" applyFont="1" applyBorder="1" applyAlignment="1">
      <alignment horizontal="right" vertical="top"/>
    </xf>
    <xf numFmtId="167" fontId="30" fillId="0" borderId="18" xfId="0" applyNumberFormat="1" applyFont="1" applyBorder="1" applyAlignment="1">
      <alignment horizontal="right" vertical="top"/>
    </xf>
    <xf numFmtId="0" fontId="30" fillId="0" borderId="23" xfId="0" applyFont="1" applyBorder="1" applyAlignment="1">
      <alignment horizontal="left" vertical="top" wrapText="1"/>
    </xf>
    <xf numFmtId="166" fontId="30" fillId="0" borderId="24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left" vertical="top" wrapText="1"/>
    </xf>
    <xf numFmtId="167" fontId="30" fillId="0" borderId="20" xfId="0" applyNumberFormat="1" applyFont="1" applyBorder="1" applyAlignment="1">
      <alignment horizontal="right" vertical="top"/>
    </xf>
    <xf numFmtId="11" fontId="30" fillId="0" borderId="20" xfId="0" applyNumberFormat="1" applyFont="1" applyBorder="1" applyAlignment="1">
      <alignment horizontal="right" vertical="top"/>
    </xf>
    <xf numFmtId="0" fontId="31" fillId="0" borderId="25" xfId="0" applyFont="1" applyBorder="1" applyAlignment="1">
      <alignment horizontal="left" vertical="top" wrapText="1"/>
    </xf>
    <xf numFmtId="0" fontId="30" fillId="0" borderId="26" xfId="0" applyFont="1" applyBorder="1" applyAlignment="1">
      <alignment horizontal="left" vertical="top" wrapText="1"/>
    </xf>
    <xf numFmtId="166" fontId="30" fillId="0" borderId="27" xfId="0" applyNumberFormat="1" applyFont="1" applyBorder="1" applyAlignment="1">
      <alignment horizontal="right" vertical="top"/>
    </xf>
    <xf numFmtId="0" fontId="0" fillId="35" borderId="0" xfId="0" applyFill="1"/>
    <xf numFmtId="0" fontId="30" fillId="0" borderId="28" xfId="0" applyFont="1" applyBorder="1" applyAlignment="1">
      <alignment horizontal="left" vertical="top" wrapText="1"/>
    </xf>
    <xf numFmtId="167" fontId="30" fillId="0" borderId="29" xfId="0" applyNumberFormat="1" applyFont="1" applyBorder="1" applyAlignment="1">
      <alignment horizontal="right" vertical="top"/>
    </xf>
    <xf numFmtId="0" fontId="26" fillId="35" borderId="19" xfId="0" applyFont="1" applyFill="1" applyBorder="1"/>
    <xf numFmtId="0" fontId="27" fillId="35" borderId="0" xfId="0" applyFont="1" applyFill="1" applyAlignment="1">
      <alignment horizontal="center"/>
    </xf>
    <xf numFmtId="168" fontId="0" fillId="35" borderId="0" xfId="0" applyNumberFormat="1" applyFill="1"/>
    <xf numFmtId="0" fontId="0" fillId="35" borderId="20" xfId="0" applyFill="1" applyBorder="1"/>
    <xf numFmtId="0" fontId="27" fillId="35" borderId="30" xfId="0" applyFont="1" applyFill="1" applyBorder="1"/>
    <xf numFmtId="0" fontId="0" fillId="35" borderId="31" xfId="0" applyFill="1" applyBorder="1"/>
    <xf numFmtId="0" fontId="0" fillId="35" borderId="29" xfId="0" applyFill="1" applyBorder="1"/>
    <xf numFmtId="0" fontId="0" fillId="34" borderId="0" xfId="0" applyFill="1"/>
    <xf numFmtId="0" fontId="0" fillId="0" borderId="31" xfId="0" applyBorder="1"/>
    <xf numFmtId="0" fontId="36" fillId="0" borderId="32" xfId="0" applyFont="1" applyBorder="1" applyAlignment="1">
      <alignment horizontal="center"/>
    </xf>
    <xf numFmtId="0" fontId="36" fillId="0" borderId="32" xfId="0" applyFont="1" applyBorder="1" applyAlignment="1">
      <alignment horizontal="centerContinuous"/>
    </xf>
    <xf numFmtId="0" fontId="16" fillId="34" borderId="0" xfId="0" applyFont="1" applyFill="1"/>
    <xf numFmtId="2" fontId="0" fillId="34" borderId="0" xfId="0" applyNumberFormat="1" applyFill="1"/>
    <xf numFmtId="0" fontId="38" fillId="0" borderId="0" xfId="0" applyFont="1"/>
    <xf numFmtId="2" fontId="33" fillId="34" borderId="0" xfId="0" applyNumberFormat="1" applyFont="1" applyFill="1" applyAlignment="1">
      <alignment horizontal="left"/>
    </xf>
    <xf numFmtId="0" fontId="18" fillId="0" borderId="10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0" xfId="0" applyFont="1" applyAlignment="1">
      <alignment horizontal="left"/>
    </xf>
    <xf numFmtId="2" fontId="21" fillId="0" borderId="0" xfId="0" applyNumberFormat="1" applyFont="1" applyAlignment="1">
      <alignment horizontal="left"/>
    </xf>
    <xf numFmtId="2" fontId="18" fillId="0" borderId="14" xfId="0" applyNumberFormat="1" applyFont="1" applyBorder="1" applyAlignment="1">
      <alignment horizontal="left"/>
    </xf>
    <xf numFmtId="2" fontId="18" fillId="0" borderId="0" xfId="0" applyNumberFormat="1" applyFont="1" applyAlignment="1">
      <alignment horizontal="left"/>
    </xf>
    <xf numFmtId="2" fontId="21" fillId="0" borderId="14" xfId="0" applyNumberFormat="1" applyFon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0" fontId="21" fillId="0" borderId="0" xfId="0" applyFont="1" applyAlignment="1">
      <alignment horizontal="left"/>
    </xf>
    <xf numFmtId="0" fontId="18" fillId="0" borderId="12" xfId="0" applyFont="1" applyBorder="1" applyAlignment="1">
      <alignment horizontal="left"/>
    </xf>
    <xf numFmtId="0" fontId="21" fillId="34" borderId="0" xfId="0" applyFont="1" applyFill="1" applyAlignment="1">
      <alignment horizontal="left"/>
    </xf>
    <xf numFmtId="2" fontId="21" fillId="34" borderId="0" xfId="0" applyNumberFormat="1" applyFont="1" applyFill="1" applyAlignment="1">
      <alignment horizontal="left"/>
    </xf>
    <xf numFmtId="0" fontId="54" fillId="36" borderId="0" xfId="0" applyFont="1" applyFill="1" applyAlignment="1">
      <alignment horizontal="left"/>
    </xf>
    <xf numFmtId="0" fontId="21" fillId="36" borderId="0" xfId="0" applyFont="1" applyFill="1" applyAlignment="1">
      <alignment horizontal="left"/>
    </xf>
    <xf numFmtId="0" fontId="18" fillId="36" borderId="0" xfId="0" applyFont="1" applyFill="1" applyAlignment="1">
      <alignment horizontal="left"/>
    </xf>
    <xf numFmtId="0" fontId="40" fillId="36" borderId="0" xfId="0" applyFont="1" applyFill="1" applyAlignment="1">
      <alignment horizontal="left"/>
    </xf>
    <xf numFmtId="0" fontId="41" fillId="36" borderId="0" xfId="0" applyFont="1" applyFill="1" applyAlignment="1">
      <alignment horizontal="left"/>
    </xf>
    <xf numFmtId="0" fontId="21" fillId="37" borderId="0" xfId="0" applyFont="1" applyFill="1" applyAlignment="1">
      <alignment horizontal="left"/>
    </xf>
    <xf numFmtId="169" fontId="21" fillId="37" borderId="0" xfId="0" applyNumberFormat="1" applyFont="1" applyFill="1" applyAlignment="1">
      <alignment horizontal="left"/>
    </xf>
    <xf numFmtId="164" fontId="21" fillId="37" borderId="0" xfId="0" applyNumberFormat="1" applyFont="1" applyFill="1" applyAlignment="1">
      <alignment horizontal="left"/>
    </xf>
    <xf numFmtId="2" fontId="21" fillId="37" borderId="0" xfId="0" applyNumberFormat="1" applyFont="1" applyFill="1" applyAlignment="1">
      <alignment horizontal="left"/>
    </xf>
    <xf numFmtId="0" fontId="33" fillId="37" borderId="0" xfId="0" applyFont="1" applyFill="1" applyAlignment="1">
      <alignment horizontal="left"/>
    </xf>
    <xf numFmtId="0" fontId="21" fillId="37" borderId="14" xfId="0" applyFont="1" applyFill="1" applyBorder="1" applyAlignment="1">
      <alignment horizontal="left"/>
    </xf>
    <xf numFmtId="2" fontId="21" fillId="37" borderId="14" xfId="0" applyNumberFormat="1" applyFont="1" applyFill="1" applyBorder="1" applyAlignment="1">
      <alignment horizontal="left"/>
    </xf>
    <xf numFmtId="2" fontId="39" fillId="37" borderId="14" xfId="0" applyNumberFormat="1" applyFont="1" applyFill="1" applyBorder="1" applyAlignment="1">
      <alignment horizontal="left"/>
    </xf>
    <xf numFmtId="2" fontId="39" fillId="37" borderId="0" xfId="0" applyNumberFormat="1" applyFont="1" applyFill="1" applyAlignment="1">
      <alignment horizontal="left"/>
    </xf>
    <xf numFmtId="0" fontId="18" fillId="34" borderId="0" xfId="0" applyFont="1" applyFill="1" applyAlignment="1">
      <alignment horizontal="left"/>
    </xf>
    <xf numFmtId="0" fontId="18" fillId="34" borderId="14" xfId="0" applyFont="1" applyFill="1" applyBorder="1" applyAlignment="1">
      <alignment horizontal="left"/>
    </xf>
    <xf numFmtId="0" fontId="19" fillId="34" borderId="14" xfId="0" applyFont="1" applyFill="1" applyBorder="1" applyAlignment="1">
      <alignment horizontal="left"/>
    </xf>
    <xf numFmtId="164" fontId="33" fillId="34" borderId="0" xfId="0" applyNumberFormat="1" applyFont="1" applyFill="1" applyAlignment="1">
      <alignment horizontal="left"/>
    </xf>
    <xf numFmtId="0" fontId="21" fillId="34" borderId="14" xfId="0" applyFont="1" applyFill="1" applyBorder="1" applyAlignment="1">
      <alignment horizontal="left"/>
    </xf>
    <xf numFmtId="2" fontId="18" fillId="34" borderId="14" xfId="0" applyNumberFormat="1" applyFont="1" applyFill="1" applyBorder="1" applyAlignment="1">
      <alignment horizontal="left"/>
    </xf>
    <xf numFmtId="2" fontId="18" fillId="34" borderId="0" xfId="0" applyNumberFormat="1" applyFont="1" applyFill="1" applyAlignment="1">
      <alignment horizontal="left"/>
    </xf>
    <xf numFmtId="169" fontId="37" fillId="34" borderId="14" xfId="0" applyNumberFormat="1" applyFont="1" applyFill="1" applyBorder="1" applyAlignment="1">
      <alignment horizontal="left"/>
    </xf>
    <xf numFmtId="169" fontId="37" fillId="34" borderId="0" xfId="0" applyNumberFormat="1" applyFont="1" applyFill="1" applyAlignment="1">
      <alignment horizontal="left"/>
    </xf>
    <xf numFmtId="164" fontId="19" fillId="34" borderId="0" xfId="0" applyNumberFormat="1" applyFont="1" applyFill="1" applyAlignment="1">
      <alignment horizontal="left"/>
    </xf>
    <xf numFmtId="0" fontId="19" fillId="34" borderId="0" xfId="0" applyFont="1" applyFill="1" applyAlignment="1">
      <alignment horizontal="left"/>
    </xf>
    <xf numFmtId="164" fontId="19" fillId="34" borderId="14" xfId="0" applyNumberFormat="1" applyFont="1" applyFill="1" applyBorder="1" applyAlignment="1">
      <alignment horizontal="left"/>
    </xf>
    <xf numFmtId="2" fontId="19" fillId="34" borderId="0" xfId="0" applyNumberFormat="1" applyFont="1" applyFill="1" applyAlignment="1">
      <alignment horizontal="left"/>
    </xf>
    <xf numFmtId="1" fontId="18" fillId="34" borderId="0" xfId="0" applyNumberFormat="1" applyFont="1" applyFill="1" applyAlignment="1">
      <alignment horizontal="left"/>
    </xf>
    <xf numFmtId="164" fontId="18" fillId="34" borderId="0" xfId="0" applyNumberFormat="1" applyFont="1" applyFill="1" applyAlignment="1">
      <alignment horizontal="left"/>
    </xf>
    <xf numFmtId="165" fontId="18" fillId="34" borderId="0" xfId="0" applyNumberFormat="1" applyFont="1" applyFill="1" applyAlignment="1">
      <alignment horizontal="left"/>
    </xf>
    <xf numFmtId="0" fontId="19" fillId="37" borderId="14" xfId="0" applyFont="1" applyFill="1" applyBorder="1" applyAlignment="1">
      <alignment horizontal="left"/>
    </xf>
    <xf numFmtId="164" fontId="19" fillId="37" borderId="0" xfId="0" applyNumberFormat="1" applyFont="1" applyFill="1" applyAlignment="1">
      <alignment horizontal="left"/>
    </xf>
    <xf numFmtId="2" fontId="33" fillId="34" borderId="14" xfId="0" applyNumberFormat="1" applyFont="1" applyFill="1" applyBorder="1" applyAlignment="1">
      <alignment horizontal="left"/>
    </xf>
    <xf numFmtId="2" fontId="20" fillId="34" borderId="0" xfId="0" applyNumberFormat="1" applyFont="1" applyFill="1" applyAlignment="1">
      <alignment horizontal="left"/>
    </xf>
    <xf numFmtId="2" fontId="19" fillId="34" borderId="14" xfId="0" applyNumberFormat="1" applyFont="1" applyFill="1" applyBorder="1" applyAlignment="1">
      <alignment horizontal="left"/>
    </xf>
    <xf numFmtId="1" fontId="19" fillId="34" borderId="14" xfId="0" applyNumberFormat="1" applyFont="1" applyFill="1" applyBorder="1" applyAlignment="1">
      <alignment horizontal="left"/>
    </xf>
    <xf numFmtId="165" fontId="19" fillId="34" borderId="0" xfId="0" applyNumberFormat="1" applyFont="1" applyFill="1" applyAlignment="1">
      <alignment horizontal="left"/>
    </xf>
    <xf numFmtId="0" fontId="18" fillId="37" borderId="0" xfId="0" applyFont="1" applyFill="1" applyAlignment="1">
      <alignment horizontal="left"/>
    </xf>
    <xf numFmtId="2" fontId="21" fillId="34" borderId="14" xfId="0" applyNumberFormat="1" applyFont="1" applyFill="1" applyBorder="1" applyAlignment="1">
      <alignment horizontal="left"/>
    </xf>
    <xf numFmtId="0" fontId="37" fillId="34" borderId="14" xfId="0" applyFont="1" applyFill="1" applyBorder="1" applyAlignment="1">
      <alignment horizontal="left"/>
    </xf>
    <xf numFmtId="2" fontId="37" fillId="34" borderId="0" xfId="0" applyNumberFormat="1" applyFont="1" applyFill="1" applyAlignment="1">
      <alignment horizontal="left"/>
    </xf>
    <xf numFmtId="164" fontId="37" fillId="34" borderId="0" xfId="0" applyNumberFormat="1" applyFont="1" applyFill="1" applyAlignment="1">
      <alignment horizontal="left"/>
    </xf>
    <xf numFmtId="2" fontId="37" fillId="34" borderId="14" xfId="0" applyNumberFormat="1" applyFont="1" applyFill="1" applyBorder="1" applyAlignment="1">
      <alignment horizontal="left"/>
    </xf>
    <xf numFmtId="164" fontId="21" fillId="34" borderId="0" xfId="0" applyNumberFormat="1" applyFont="1" applyFill="1" applyAlignment="1">
      <alignment horizontal="left"/>
    </xf>
    <xf numFmtId="164" fontId="18" fillId="34" borderId="14" xfId="0" applyNumberFormat="1" applyFont="1" applyFill="1" applyBorder="1" applyAlignment="1">
      <alignment horizontal="left"/>
    </xf>
    <xf numFmtId="164" fontId="20" fillId="34" borderId="0" xfId="0" applyNumberFormat="1" applyFont="1" applyFill="1" applyAlignment="1">
      <alignment horizontal="left"/>
    </xf>
    <xf numFmtId="0" fontId="18" fillId="33" borderId="0" xfId="0" applyFont="1" applyFill="1" applyAlignment="1">
      <alignment horizontal="left"/>
    </xf>
    <xf numFmtId="0" fontId="32" fillId="33" borderId="0" xfId="0" applyFont="1" applyFill="1" applyAlignment="1">
      <alignment horizontal="left"/>
    </xf>
    <xf numFmtId="2" fontId="33" fillId="33" borderId="0" xfId="0" applyNumberFormat="1" applyFont="1" applyFill="1" applyAlignment="1">
      <alignment horizontal="left"/>
    </xf>
    <xf numFmtId="0" fontId="21" fillId="33" borderId="0" xfId="0" applyFont="1" applyFill="1" applyAlignment="1">
      <alignment horizontal="left"/>
    </xf>
    <xf numFmtId="0" fontId="18" fillId="33" borderId="33" xfId="0" applyFont="1" applyFill="1" applyBorder="1" applyAlignment="1">
      <alignment horizontal="left"/>
    </xf>
    <xf numFmtId="0" fontId="32" fillId="33" borderId="33" xfId="0" applyFont="1" applyFill="1" applyBorder="1" applyAlignment="1">
      <alignment horizontal="left"/>
    </xf>
    <xf numFmtId="2" fontId="33" fillId="33" borderId="33" xfId="0" applyNumberFormat="1" applyFont="1" applyFill="1" applyBorder="1" applyAlignment="1">
      <alignment horizontal="left"/>
    </xf>
    <xf numFmtId="0" fontId="21" fillId="33" borderId="33" xfId="0" applyFont="1" applyFill="1" applyBorder="1" applyAlignment="1">
      <alignment horizontal="left"/>
    </xf>
    <xf numFmtId="0" fontId="58" fillId="39" borderId="0" xfId="0" applyFont="1" applyFill="1" applyAlignment="1">
      <alignment horizontal="left" vertical="top" wrapText="1"/>
    </xf>
    <xf numFmtId="0" fontId="64" fillId="39" borderId="0" xfId="0" applyFont="1" applyFill="1"/>
    <xf numFmtId="0" fontId="64" fillId="39" borderId="0" xfId="0" applyFont="1" applyFill="1" applyAlignment="1">
      <alignment wrapText="1"/>
    </xf>
    <xf numFmtId="164" fontId="0" fillId="38" borderId="0" xfId="0" applyNumberFormat="1" applyFill="1"/>
    <xf numFmtId="0" fontId="0" fillId="38" borderId="31" xfId="0" applyFill="1" applyBorder="1"/>
    <xf numFmtId="0" fontId="0" fillId="38" borderId="0" xfId="0" applyFill="1"/>
    <xf numFmtId="1" fontId="21" fillId="37" borderId="0" xfId="0" applyNumberFormat="1" applyFont="1" applyFill="1" applyAlignment="1">
      <alignment horizontal="left"/>
    </xf>
    <xf numFmtId="169" fontId="21" fillId="34" borderId="0" xfId="0" applyNumberFormat="1" applyFont="1" applyFill="1" applyAlignment="1">
      <alignment horizontal="left"/>
    </xf>
    <xf numFmtId="2" fontId="41" fillId="34" borderId="0" xfId="0" applyNumberFormat="1" applyFont="1" applyFill="1" applyAlignment="1">
      <alignment horizontal="left"/>
    </xf>
    <xf numFmtId="1" fontId="21" fillId="37" borderId="14" xfId="0" applyNumberFormat="1" applyFont="1" applyFill="1" applyBorder="1" applyAlignment="1">
      <alignment horizontal="left"/>
    </xf>
    <xf numFmtId="0" fontId="21" fillId="36" borderId="14" xfId="0" applyFont="1" applyFill="1" applyBorder="1" applyAlignment="1">
      <alignment horizontal="left"/>
    </xf>
    <xf numFmtId="0" fontId="18" fillId="36" borderId="14" xfId="0" applyFont="1" applyFill="1" applyBorder="1" applyAlignment="1">
      <alignment horizontal="left"/>
    </xf>
    <xf numFmtId="0" fontId="54" fillId="36" borderId="14" xfId="0" applyFont="1" applyFill="1" applyBorder="1" applyAlignment="1">
      <alignment horizontal="left"/>
    </xf>
    <xf numFmtId="0" fontId="32" fillId="36" borderId="0" xfId="0" applyFont="1" applyFill="1" applyAlignment="1">
      <alignment horizontal="left"/>
    </xf>
    <xf numFmtId="0" fontId="37" fillId="36" borderId="0" xfId="0" applyFont="1" applyFill="1" applyAlignment="1">
      <alignment horizontal="left"/>
    </xf>
    <xf numFmtId="0" fontId="37" fillId="36" borderId="14" xfId="0" applyFont="1" applyFill="1" applyBorder="1" applyAlignment="1">
      <alignment horizontal="left"/>
    </xf>
    <xf numFmtId="0" fontId="23" fillId="36" borderId="0" xfId="0" applyFont="1" applyFill="1" applyAlignment="1">
      <alignment horizontal="left"/>
    </xf>
    <xf numFmtId="0" fontId="19" fillId="36" borderId="14" xfId="0" applyFont="1" applyFill="1" applyBorder="1" applyAlignment="1">
      <alignment horizontal="left"/>
    </xf>
    <xf numFmtId="2" fontId="33" fillId="36" borderId="0" xfId="0" applyNumberFormat="1" applyFont="1" applyFill="1" applyAlignment="1">
      <alignment horizontal="left"/>
    </xf>
    <xf numFmtId="164" fontId="33" fillId="36" borderId="0" xfId="0" applyNumberFormat="1" applyFont="1" applyFill="1" applyAlignment="1">
      <alignment horizontal="left"/>
    </xf>
    <xf numFmtId="0" fontId="39" fillId="36" borderId="0" xfId="0" applyFont="1" applyFill="1" applyAlignment="1">
      <alignment horizontal="left"/>
    </xf>
    <xf numFmtId="0" fontId="32" fillId="36" borderId="14" xfId="0" applyFont="1" applyFill="1" applyBorder="1" applyAlignment="1">
      <alignment horizontal="left"/>
    </xf>
    <xf numFmtId="0" fontId="47" fillId="36" borderId="0" xfId="0" applyFont="1" applyFill="1" applyAlignment="1">
      <alignment horizontal="left"/>
    </xf>
    <xf numFmtId="0" fontId="19" fillId="36" borderId="0" xfId="0" applyFont="1" applyFill="1" applyAlignment="1">
      <alignment horizontal="left"/>
    </xf>
    <xf numFmtId="0" fontId="34" fillId="36" borderId="0" xfId="0" applyFont="1" applyFill="1" applyAlignment="1">
      <alignment horizontal="left"/>
    </xf>
    <xf numFmtId="0" fontId="48" fillId="36" borderId="0" xfId="0" applyFont="1" applyFill="1" applyAlignment="1">
      <alignment horizontal="left"/>
    </xf>
    <xf numFmtId="0" fontId="22" fillId="36" borderId="0" xfId="0" applyFont="1" applyFill="1" applyAlignment="1">
      <alignment horizontal="left"/>
    </xf>
    <xf numFmtId="164" fontId="19" fillId="36" borderId="0" xfId="0" applyNumberFormat="1" applyFont="1" applyFill="1" applyAlignment="1">
      <alignment horizontal="left"/>
    </xf>
    <xf numFmtId="164" fontId="19" fillId="36" borderId="14" xfId="0" applyNumberFormat="1" applyFont="1" applyFill="1" applyBorder="1" applyAlignment="1">
      <alignment horizontal="left"/>
    </xf>
    <xf numFmtId="0" fontId="19" fillId="36" borderId="14" xfId="0" applyFont="1" applyFill="1" applyBorder="1" applyAlignment="1">
      <alignment horizontal="left"/>
    </xf>
    <xf numFmtId="0" fontId="19" fillId="36" borderId="0" xfId="0" applyFont="1" applyFill="1" applyAlignment="1">
      <alignment horizontal="left"/>
    </xf>
    <xf numFmtId="0" fontId="19" fillId="36" borderId="15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68" fillId="39" borderId="0" xfId="0" applyFont="1" applyFill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CF264"/>
      <color rgb="FF0AD457"/>
      <color rgb="FFEE10B4"/>
      <color rgb="FFC30D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9"/>
  <sheetViews>
    <sheetView workbookViewId="0">
      <pane xSplit="1" ySplit="1" topLeftCell="H412" activePane="bottomRight" state="frozen"/>
      <selection pane="topRight" activeCell="B1" sqref="B1"/>
      <selection pane="bottomLeft" activeCell="A2" sqref="A2"/>
      <selection pane="bottomRight" activeCell="A415" sqref="A1:A1048576"/>
    </sheetView>
  </sheetViews>
  <sheetFormatPr baseColWidth="10" defaultColWidth="8.83203125" defaultRowHeight="15" x14ac:dyDescent="0.2"/>
  <cols>
    <col min="1" max="1" width="52.5" bestFit="1" customWidth="1"/>
    <col min="12" max="12" width="9.1640625" style="3"/>
    <col min="16" max="17" width="12" bestFit="1" customWidth="1"/>
  </cols>
  <sheetData>
    <row r="1" spans="1:18" x14ac:dyDescent="0.2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4" t="s">
        <v>10</v>
      </c>
      <c r="M1" s="1" t="s">
        <v>11</v>
      </c>
      <c r="N1" s="1" t="s">
        <v>12</v>
      </c>
      <c r="O1" s="1" t="s">
        <v>13</v>
      </c>
      <c r="P1" s="1" t="s">
        <v>405</v>
      </c>
      <c r="Q1" s="1" t="s">
        <v>406</v>
      </c>
      <c r="R1" s="1" t="s">
        <v>407</v>
      </c>
    </row>
    <row r="2" spans="1:18" x14ac:dyDescent="0.2">
      <c r="A2" t="s">
        <v>14</v>
      </c>
      <c r="B2">
        <v>0.1</v>
      </c>
      <c r="C2">
        <v>750</v>
      </c>
      <c r="D2">
        <v>910</v>
      </c>
      <c r="E2">
        <v>1</v>
      </c>
      <c r="F2" t="s">
        <v>15</v>
      </c>
      <c r="G2" t="b">
        <v>0</v>
      </c>
      <c r="H2">
        <v>1</v>
      </c>
      <c r="I2" t="b">
        <v>0</v>
      </c>
      <c r="J2">
        <v>21992.8174022083</v>
      </c>
      <c r="K2">
        <v>36649.575579624099</v>
      </c>
      <c r="L2" s="3">
        <v>1.6664338592628001</v>
      </c>
      <c r="M2">
        <v>4.0599999999999996</v>
      </c>
      <c r="N2">
        <v>19.87</v>
      </c>
      <c r="O2">
        <v>38.799999999999997</v>
      </c>
      <c r="P2" s="8"/>
      <c r="Q2" s="8"/>
    </row>
    <row r="3" spans="1:18" x14ac:dyDescent="0.2">
      <c r="A3" t="s">
        <v>16</v>
      </c>
      <c r="B3">
        <v>0.1</v>
      </c>
      <c r="C3">
        <v>750</v>
      </c>
      <c r="D3">
        <v>910</v>
      </c>
      <c r="E3">
        <v>1</v>
      </c>
      <c r="F3" t="s">
        <v>15</v>
      </c>
      <c r="G3" t="b">
        <v>0</v>
      </c>
      <c r="H3">
        <v>1</v>
      </c>
      <c r="I3" t="b">
        <v>1</v>
      </c>
      <c r="J3">
        <v>20576.566128515398</v>
      </c>
      <c r="K3">
        <v>34495.0971054412</v>
      </c>
      <c r="L3" s="3">
        <v>1.6764263235174699</v>
      </c>
      <c r="M3">
        <v>3.26</v>
      </c>
      <c r="N3">
        <v>22.73</v>
      </c>
      <c r="O3">
        <v>46.72</v>
      </c>
      <c r="P3" s="8"/>
      <c r="Q3" s="8"/>
    </row>
    <row r="4" spans="1:18" x14ac:dyDescent="0.2">
      <c r="A4" s="1" t="s">
        <v>17</v>
      </c>
      <c r="B4" s="1">
        <v>0.1</v>
      </c>
      <c r="C4" s="1">
        <v>750</v>
      </c>
      <c r="D4" s="1">
        <v>910</v>
      </c>
      <c r="E4" s="1">
        <v>1</v>
      </c>
      <c r="F4" s="1" t="s">
        <v>15</v>
      </c>
      <c r="G4" s="1" t="b">
        <v>0</v>
      </c>
      <c r="H4" s="1">
        <v>1</v>
      </c>
      <c r="I4" s="1" t="b">
        <v>1</v>
      </c>
      <c r="J4" s="1">
        <v>21431.4188703324</v>
      </c>
      <c r="K4" s="1">
        <v>39069.154107447197</v>
      </c>
      <c r="L4" s="4">
        <v>1.8229849523183299</v>
      </c>
      <c r="M4" s="1">
        <v>3.16</v>
      </c>
      <c r="N4" s="1">
        <v>24.54</v>
      </c>
      <c r="O4" s="1">
        <v>52.43</v>
      </c>
      <c r="P4" s="8">
        <f>AVERAGE(L2:L4)</f>
        <v>1.7219483783662</v>
      </c>
      <c r="Q4" s="8">
        <f>STDEV(L2:L4)</f>
        <v>8.7642765203172254E-2</v>
      </c>
    </row>
    <row r="5" spans="1:18" x14ac:dyDescent="0.2">
      <c r="A5" s="2" t="s">
        <v>18</v>
      </c>
      <c r="B5" s="2">
        <v>0.1</v>
      </c>
      <c r="C5" s="2">
        <v>750</v>
      </c>
      <c r="D5" s="2">
        <v>910</v>
      </c>
      <c r="E5" s="2">
        <v>1</v>
      </c>
      <c r="F5" s="2" t="s">
        <v>15</v>
      </c>
      <c r="G5" s="2" t="b">
        <v>0</v>
      </c>
      <c r="H5" s="2">
        <v>1</v>
      </c>
      <c r="I5" s="2" t="b">
        <v>1</v>
      </c>
      <c r="J5" s="2">
        <v>18785.196075133401</v>
      </c>
      <c r="K5" s="2">
        <v>34832.597783258199</v>
      </c>
      <c r="L5" s="5">
        <v>1.8542578764651401</v>
      </c>
      <c r="M5" s="2">
        <v>3</v>
      </c>
      <c r="N5" s="2">
        <v>23.24</v>
      </c>
      <c r="O5" s="2">
        <v>50.65</v>
      </c>
      <c r="P5" s="8"/>
      <c r="Q5" s="8"/>
    </row>
    <row r="6" spans="1:18" x14ac:dyDescent="0.2">
      <c r="A6" t="s">
        <v>19</v>
      </c>
      <c r="B6">
        <v>0.1</v>
      </c>
      <c r="C6">
        <v>750</v>
      </c>
      <c r="D6">
        <v>910</v>
      </c>
      <c r="E6">
        <v>1</v>
      </c>
      <c r="F6" t="s">
        <v>15</v>
      </c>
      <c r="G6" t="b">
        <v>0</v>
      </c>
      <c r="H6">
        <v>1</v>
      </c>
      <c r="I6" t="b">
        <v>1</v>
      </c>
      <c r="J6">
        <v>21819.3930474027</v>
      </c>
      <c r="K6">
        <v>38312.5116842731</v>
      </c>
      <c r="L6" s="3">
        <v>1.7558926410573801</v>
      </c>
      <c r="M6">
        <v>3.68</v>
      </c>
      <c r="N6">
        <v>21.62</v>
      </c>
      <c r="O6">
        <v>45.35</v>
      </c>
      <c r="P6" s="8"/>
      <c r="Q6" s="8"/>
    </row>
    <row r="7" spans="1:18" x14ac:dyDescent="0.2">
      <c r="A7" t="s">
        <v>20</v>
      </c>
      <c r="B7">
        <v>0.1</v>
      </c>
      <c r="C7">
        <v>750</v>
      </c>
      <c r="D7">
        <v>910</v>
      </c>
      <c r="E7">
        <v>1</v>
      </c>
      <c r="F7" t="s">
        <v>15</v>
      </c>
      <c r="G7" t="b">
        <v>0</v>
      </c>
      <c r="H7">
        <v>1</v>
      </c>
      <c r="I7" t="b">
        <v>1</v>
      </c>
      <c r="J7">
        <v>21180.9379934319</v>
      </c>
      <c r="K7">
        <v>35325.774471673503</v>
      </c>
      <c r="L7" s="3">
        <v>1.66780972979703</v>
      </c>
      <c r="M7">
        <v>3.46</v>
      </c>
      <c r="N7">
        <v>22.83</v>
      </c>
      <c r="O7">
        <v>45.3</v>
      </c>
      <c r="P7" s="8"/>
      <c r="Q7" s="8"/>
    </row>
    <row r="8" spans="1:18" x14ac:dyDescent="0.2">
      <c r="A8" s="1" t="s">
        <v>21</v>
      </c>
      <c r="B8" s="1">
        <v>0.1</v>
      </c>
      <c r="C8" s="1">
        <v>750</v>
      </c>
      <c r="D8" s="1">
        <v>910</v>
      </c>
      <c r="E8" s="1">
        <v>1</v>
      </c>
      <c r="F8" s="1" t="s">
        <v>15</v>
      </c>
      <c r="G8" s="1" t="b">
        <v>0</v>
      </c>
      <c r="H8" s="1">
        <v>1</v>
      </c>
      <c r="I8" s="1" t="b">
        <v>1</v>
      </c>
      <c r="J8" s="1">
        <v>21210.074639603601</v>
      </c>
      <c r="K8" s="1">
        <v>41093.855054156302</v>
      </c>
      <c r="L8" s="4">
        <v>1.9374686677163</v>
      </c>
      <c r="M8" s="1">
        <v>4.13</v>
      </c>
      <c r="N8" s="1">
        <v>19.07</v>
      </c>
      <c r="O8" s="1">
        <v>40.03</v>
      </c>
      <c r="P8" s="8">
        <f>AVERAGE(L5:L8)</f>
        <v>1.8038572287589625</v>
      </c>
      <c r="Q8" s="8">
        <f>STDEV(L5:L8)</f>
        <v>0.11719181648993579</v>
      </c>
    </row>
    <row r="9" spans="1:18" x14ac:dyDescent="0.2">
      <c r="A9" s="2" t="s">
        <v>22</v>
      </c>
      <c r="B9" s="2">
        <v>0.1</v>
      </c>
      <c r="C9" s="2">
        <v>750</v>
      </c>
      <c r="D9" s="2">
        <v>910</v>
      </c>
      <c r="E9" s="2">
        <v>1</v>
      </c>
      <c r="F9" s="2" t="s">
        <v>15</v>
      </c>
      <c r="G9" s="2" t="b">
        <v>0</v>
      </c>
      <c r="H9" s="2">
        <v>1</v>
      </c>
      <c r="I9" s="2" t="b">
        <v>1</v>
      </c>
      <c r="J9" s="2">
        <v>39938.767982085701</v>
      </c>
      <c r="K9" s="2">
        <v>103650.679201267</v>
      </c>
      <c r="L9" s="5">
        <v>2.5952397742403801</v>
      </c>
      <c r="M9" s="2">
        <v>5.64</v>
      </c>
      <c r="N9" s="2">
        <v>25.73</v>
      </c>
      <c r="O9" s="2">
        <v>78.17</v>
      </c>
      <c r="P9" s="8"/>
      <c r="Q9" s="8"/>
    </row>
    <row r="10" spans="1:18" x14ac:dyDescent="0.2">
      <c r="A10" t="s">
        <v>23</v>
      </c>
      <c r="B10">
        <v>1</v>
      </c>
      <c r="C10">
        <v>750</v>
      </c>
      <c r="D10">
        <v>910</v>
      </c>
      <c r="E10">
        <v>1</v>
      </c>
      <c r="F10" t="s">
        <v>15</v>
      </c>
      <c r="G10" t="b">
        <v>0</v>
      </c>
      <c r="H10">
        <v>1</v>
      </c>
      <c r="I10" t="b">
        <v>0</v>
      </c>
      <c r="J10">
        <v>10565.500915844999</v>
      </c>
      <c r="K10">
        <v>23545.9978836384</v>
      </c>
      <c r="L10" s="3">
        <v>2.2285737393034202</v>
      </c>
      <c r="M10">
        <v>2.64</v>
      </c>
      <c r="N10">
        <v>14.88</v>
      </c>
      <c r="O10">
        <v>38.03</v>
      </c>
      <c r="P10" s="8"/>
      <c r="Q10" s="8"/>
    </row>
    <row r="11" spans="1:18" x14ac:dyDescent="0.2">
      <c r="A11" t="s">
        <v>24</v>
      </c>
      <c r="B11">
        <v>1</v>
      </c>
      <c r="C11">
        <v>750</v>
      </c>
      <c r="D11">
        <v>910</v>
      </c>
      <c r="E11">
        <v>1</v>
      </c>
      <c r="F11" t="s">
        <v>15</v>
      </c>
      <c r="G11" t="b">
        <v>0</v>
      </c>
      <c r="H11">
        <v>1</v>
      </c>
      <c r="I11" t="b">
        <v>0</v>
      </c>
      <c r="J11">
        <v>11135.5689669864</v>
      </c>
      <c r="K11">
        <v>27089.317369546599</v>
      </c>
      <c r="L11" s="3">
        <v>2.4326837227498701</v>
      </c>
      <c r="M11">
        <v>2.86</v>
      </c>
      <c r="N11">
        <v>14.33</v>
      </c>
      <c r="O11">
        <v>38.28</v>
      </c>
      <c r="P11" s="8"/>
      <c r="Q11" s="8"/>
    </row>
    <row r="12" spans="1:18" x14ac:dyDescent="0.2">
      <c r="A12" s="1" t="s">
        <v>25</v>
      </c>
      <c r="B12" s="1">
        <v>0.1</v>
      </c>
      <c r="C12" s="1">
        <v>750</v>
      </c>
      <c r="D12" s="1">
        <v>910</v>
      </c>
      <c r="E12" s="1">
        <v>1</v>
      </c>
      <c r="F12" s="1" t="s">
        <v>15</v>
      </c>
      <c r="G12" s="1" t="b">
        <v>0</v>
      </c>
      <c r="H12" s="1">
        <v>1</v>
      </c>
      <c r="I12" s="1" t="b">
        <v>0</v>
      </c>
      <c r="J12" s="1">
        <v>10646.6842953102</v>
      </c>
      <c r="K12" s="1">
        <v>23192.596674830798</v>
      </c>
      <c r="L12" s="4">
        <v>2.17838681335249</v>
      </c>
      <c r="M12" s="1">
        <v>2.88</v>
      </c>
      <c r="N12" s="1">
        <v>13.72</v>
      </c>
      <c r="O12" s="1">
        <v>36.11</v>
      </c>
      <c r="P12" s="8">
        <f>AVERAGE(L9:L12)</f>
        <v>2.3587210124115403</v>
      </c>
      <c r="Q12" s="8">
        <f>STDEV(L9:L12)</f>
        <v>0.19224146558030253</v>
      </c>
    </row>
    <row r="13" spans="1:18" x14ac:dyDescent="0.2">
      <c r="A13" s="2" t="s">
        <v>26</v>
      </c>
      <c r="B13" s="2">
        <v>0.1</v>
      </c>
      <c r="C13" s="2">
        <v>750</v>
      </c>
      <c r="D13" s="2">
        <v>910</v>
      </c>
      <c r="E13" s="2">
        <v>1</v>
      </c>
      <c r="F13" s="2" t="s">
        <v>15</v>
      </c>
      <c r="G13" s="2" t="b">
        <v>0</v>
      </c>
      <c r="H13" s="2">
        <v>1</v>
      </c>
      <c r="I13" s="2" t="b">
        <v>1</v>
      </c>
      <c r="J13" s="2">
        <v>18007.259338527099</v>
      </c>
      <c r="K13" s="2">
        <v>46379.756435340802</v>
      </c>
      <c r="L13" s="5">
        <v>2.5756143988057998</v>
      </c>
      <c r="M13" s="2">
        <v>3.61</v>
      </c>
      <c r="N13" s="2">
        <v>18</v>
      </c>
      <c r="O13" s="2">
        <v>56.78</v>
      </c>
      <c r="P13" s="8"/>
      <c r="Q13" s="8"/>
    </row>
    <row r="14" spans="1:18" x14ac:dyDescent="0.2">
      <c r="A14" t="s">
        <v>27</v>
      </c>
      <c r="B14">
        <v>0.1</v>
      </c>
      <c r="C14">
        <v>750</v>
      </c>
      <c r="D14">
        <v>910</v>
      </c>
      <c r="E14">
        <v>1</v>
      </c>
      <c r="F14" t="s">
        <v>15</v>
      </c>
      <c r="G14" t="b">
        <v>0</v>
      </c>
      <c r="H14">
        <v>1</v>
      </c>
      <c r="I14" t="b">
        <v>0</v>
      </c>
      <c r="J14">
        <v>23272.613222353601</v>
      </c>
      <c r="K14">
        <v>52563.3303431643</v>
      </c>
      <c r="L14" s="3">
        <v>2.2585916691416701</v>
      </c>
      <c r="M14">
        <v>3.74</v>
      </c>
      <c r="N14">
        <v>21.82</v>
      </c>
      <c r="O14">
        <v>62.77</v>
      </c>
      <c r="P14" s="8"/>
      <c r="Q14" s="8"/>
    </row>
    <row r="15" spans="1:18" x14ac:dyDescent="0.2">
      <c r="A15" s="1" t="s">
        <v>28</v>
      </c>
      <c r="B15" s="1">
        <v>1</v>
      </c>
      <c r="C15" s="1">
        <v>750</v>
      </c>
      <c r="D15" s="1">
        <v>910</v>
      </c>
      <c r="E15" s="1">
        <v>1</v>
      </c>
      <c r="F15" s="1" t="s">
        <v>15</v>
      </c>
      <c r="G15" s="1" t="b">
        <v>0</v>
      </c>
      <c r="H15" s="1">
        <v>1</v>
      </c>
      <c r="I15" s="1" t="b">
        <v>0</v>
      </c>
      <c r="J15" s="1">
        <v>23213.707494314</v>
      </c>
      <c r="K15" s="1">
        <v>53543.208477018001</v>
      </c>
      <c r="L15" s="4">
        <v>2.3065341238633601</v>
      </c>
      <c r="M15" s="1">
        <v>3.82</v>
      </c>
      <c r="N15" s="1">
        <v>21.78</v>
      </c>
      <c r="O15" s="1">
        <v>60.38</v>
      </c>
      <c r="P15" s="8">
        <f>AVERAGE(L13:L15)</f>
        <v>2.3802467306036097</v>
      </c>
      <c r="Q15" s="8">
        <f>STDEV(L13:L15)</f>
        <v>0.17088304209387195</v>
      </c>
    </row>
    <row r="16" spans="1:18" x14ac:dyDescent="0.2">
      <c r="A16" s="2" t="s">
        <v>29</v>
      </c>
      <c r="B16" s="2">
        <v>1</v>
      </c>
      <c r="C16" s="2">
        <v>750</v>
      </c>
      <c r="D16" s="2">
        <v>910</v>
      </c>
      <c r="E16" s="2">
        <v>1</v>
      </c>
      <c r="F16" s="2" t="s">
        <v>15</v>
      </c>
      <c r="G16" s="2" t="b">
        <v>0</v>
      </c>
      <c r="H16" s="2">
        <v>1</v>
      </c>
      <c r="I16" s="2" t="b">
        <v>1</v>
      </c>
      <c r="J16" s="2">
        <v>18655.381808511702</v>
      </c>
      <c r="K16" s="2">
        <v>19295.717668896399</v>
      </c>
      <c r="L16" s="5">
        <v>1.0343244575188699</v>
      </c>
      <c r="M16" s="2">
        <v>3.4</v>
      </c>
      <c r="N16" s="2">
        <v>20.61</v>
      </c>
      <c r="O16" s="2">
        <v>26.1</v>
      </c>
      <c r="P16" s="8"/>
      <c r="Q16" s="8"/>
    </row>
    <row r="17" spans="1:17" x14ac:dyDescent="0.2">
      <c r="A17" t="s">
        <v>30</v>
      </c>
      <c r="B17">
        <v>1</v>
      </c>
      <c r="C17">
        <v>750</v>
      </c>
      <c r="D17">
        <v>910</v>
      </c>
      <c r="E17">
        <v>1</v>
      </c>
      <c r="F17" t="s">
        <v>15</v>
      </c>
      <c r="G17" t="b">
        <v>0</v>
      </c>
      <c r="H17">
        <v>1</v>
      </c>
      <c r="I17" t="b">
        <v>1</v>
      </c>
      <c r="J17">
        <v>18710.965450381798</v>
      </c>
      <c r="K17">
        <v>20164.315895445601</v>
      </c>
      <c r="L17" s="3">
        <v>1.07767372821663</v>
      </c>
      <c r="M17">
        <v>3.35</v>
      </c>
      <c r="N17">
        <v>20.55</v>
      </c>
      <c r="O17">
        <v>26.3</v>
      </c>
      <c r="P17" s="8"/>
      <c r="Q17" s="8"/>
    </row>
    <row r="18" spans="1:17" x14ac:dyDescent="0.2">
      <c r="A18" s="1" t="s">
        <v>31</v>
      </c>
      <c r="B18" s="1">
        <v>1</v>
      </c>
      <c r="C18" s="1">
        <v>750</v>
      </c>
      <c r="D18" s="1">
        <v>910</v>
      </c>
      <c r="E18" s="1">
        <v>1</v>
      </c>
      <c r="F18" s="1" t="s">
        <v>15</v>
      </c>
      <c r="G18" s="1" t="b">
        <v>0</v>
      </c>
      <c r="H18" s="1">
        <v>1</v>
      </c>
      <c r="I18" s="1" t="b">
        <v>1</v>
      </c>
      <c r="J18" s="1">
        <v>20242.963117214</v>
      </c>
      <c r="K18" s="1">
        <v>22542.401336061201</v>
      </c>
      <c r="L18" s="4">
        <v>1.11359197789042</v>
      </c>
      <c r="M18" s="1">
        <v>3.39</v>
      </c>
      <c r="N18" s="1">
        <v>22.41</v>
      </c>
      <c r="O18" s="1">
        <v>29.54</v>
      </c>
      <c r="P18" s="8">
        <f>AVERAGE(L16:L18)</f>
        <v>1.0751967212086397</v>
      </c>
      <c r="Q18" s="8">
        <f>STDEV(L16:L18)</f>
        <v>3.9691770170297888E-2</v>
      </c>
    </row>
    <row r="19" spans="1:17" x14ac:dyDescent="0.2">
      <c r="A19" s="2" t="s">
        <v>32</v>
      </c>
      <c r="B19" s="2">
        <v>1</v>
      </c>
      <c r="C19" s="2">
        <v>750</v>
      </c>
      <c r="D19" s="2">
        <v>910</v>
      </c>
      <c r="E19" s="2">
        <v>1</v>
      </c>
      <c r="F19" s="2" t="s">
        <v>15</v>
      </c>
      <c r="G19" s="2" t="b">
        <v>0</v>
      </c>
      <c r="H19" s="2">
        <v>1</v>
      </c>
      <c r="I19" s="2" t="b">
        <v>1</v>
      </c>
      <c r="J19" s="2">
        <v>14979.6042955835</v>
      </c>
      <c r="K19" s="2">
        <v>23335.9630079526</v>
      </c>
      <c r="L19" s="5">
        <v>1.55784909584246</v>
      </c>
      <c r="M19" s="2">
        <v>3.26</v>
      </c>
      <c r="N19" s="2">
        <v>14.82</v>
      </c>
      <c r="O19" s="2">
        <v>29.97</v>
      </c>
      <c r="P19" s="8"/>
      <c r="Q19" s="8"/>
    </row>
    <row r="20" spans="1:17" x14ac:dyDescent="0.2">
      <c r="A20" t="s">
        <v>33</v>
      </c>
      <c r="B20">
        <v>1</v>
      </c>
      <c r="C20">
        <v>750</v>
      </c>
      <c r="D20">
        <v>910</v>
      </c>
      <c r="E20">
        <v>1</v>
      </c>
      <c r="F20" t="s">
        <v>15</v>
      </c>
      <c r="G20" t="b">
        <v>0</v>
      </c>
      <c r="H20">
        <v>1</v>
      </c>
      <c r="I20" t="b">
        <v>1</v>
      </c>
      <c r="J20">
        <v>19324.507690799001</v>
      </c>
      <c r="K20">
        <v>24246.146234687301</v>
      </c>
      <c r="L20" s="3">
        <v>1.25468377371557</v>
      </c>
      <c r="M20">
        <v>3.8</v>
      </c>
      <c r="N20">
        <v>16.43</v>
      </c>
      <c r="O20">
        <v>27.36</v>
      </c>
      <c r="P20" s="8"/>
      <c r="Q20" s="8"/>
    </row>
    <row r="21" spans="1:17" x14ac:dyDescent="0.2">
      <c r="A21" t="s">
        <v>34</v>
      </c>
      <c r="B21">
        <v>1</v>
      </c>
      <c r="C21">
        <v>750</v>
      </c>
      <c r="D21">
        <v>910</v>
      </c>
      <c r="E21">
        <v>1</v>
      </c>
      <c r="F21" t="s">
        <v>15</v>
      </c>
      <c r="G21" t="b">
        <v>0</v>
      </c>
      <c r="H21">
        <v>1</v>
      </c>
      <c r="I21" t="b">
        <v>1</v>
      </c>
      <c r="J21">
        <v>17727.577738788001</v>
      </c>
      <c r="K21">
        <v>22856.770192171101</v>
      </c>
      <c r="L21" s="3">
        <v>1.28933408325495</v>
      </c>
      <c r="M21">
        <v>3.47</v>
      </c>
      <c r="N21">
        <v>16.47</v>
      </c>
      <c r="O21">
        <v>29.22</v>
      </c>
      <c r="P21" s="8"/>
      <c r="Q21" s="8"/>
    </row>
    <row r="22" spans="1:17" x14ac:dyDescent="0.2">
      <c r="A22" s="1" t="s">
        <v>35</v>
      </c>
      <c r="B22" s="1">
        <v>1</v>
      </c>
      <c r="C22" s="1">
        <v>750</v>
      </c>
      <c r="D22" s="1">
        <v>910</v>
      </c>
      <c r="E22" s="1">
        <v>1</v>
      </c>
      <c r="F22" s="1" t="s">
        <v>15</v>
      </c>
      <c r="G22" s="1" t="b">
        <v>0</v>
      </c>
      <c r="H22" s="1">
        <v>1</v>
      </c>
      <c r="I22" s="1" t="b">
        <v>1</v>
      </c>
      <c r="J22" s="1">
        <v>17701.933686562101</v>
      </c>
      <c r="K22" s="1">
        <v>22856.267473461801</v>
      </c>
      <c r="L22" s="4">
        <v>1.2911734886235799</v>
      </c>
      <c r="M22" s="1">
        <v>3.44</v>
      </c>
      <c r="N22" s="1">
        <v>16.559999999999999</v>
      </c>
      <c r="O22" s="1">
        <v>29.43</v>
      </c>
      <c r="P22" s="8">
        <f>AVERAGE(L19:L22)</f>
        <v>1.3482601103591398</v>
      </c>
      <c r="Q22" s="8">
        <f>STDEV(L19:L22)</f>
        <v>0.14073051394659783</v>
      </c>
    </row>
    <row r="23" spans="1:17" x14ac:dyDescent="0.2">
      <c r="P23" s="8"/>
      <c r="Q23" s="8"/>
    </row>
    <row r="24" spans="1:17" x14ac:dyDescent="0.2">
      <c r="A24" t="s">
        <v>108</v>
      </c>
      <c r="B24">
        <v>0.1</v>
      </c>
      <c r="C24">
        <v>750</v>
      </c>
      <c r="D24">
        <v>910</v>
      </c>
      <c r="E24">
        <v>1</v>
      </c>
      <c r="F24" t="s">
        <v>15</v>
      </c>
      <c r="G24" t="b">
        <v>0</v>
      </c>
      <c r="H24">
        <v>1</v>
      </c>
      <c r="I24" t="b">
        <v>0</v>
      </c>
      <c r="J24">
        <v>42180.673964322901</v>
      </c>
      <c r="K24">
        <v>109271.38993634901</v>
      </c>
      <c r="L24" s="3">
        <v>2.5905558083015201</v>
      </c>
      <c r="M24">
        <v>52.4</v>
      </c>
      <c r="N24">
        <v>2.7</v>
      </c>
      <c r="O24">
        <v>8.58</v>
      </c>
      <c r="P24" s="8"/>
      <c r="Q24" s="8"/>
    </row>
    <row r="25" spans="1:17" x14ac:dyDescent="0.2">
      <c r="A25" s="1" t="s">
        <v>109</v>
      </c>
      <c r="B25" s="1">
        <v>1</v>
      </c>
      <c r="C25" s="1">
        <v>750</v>
      </c>
      <c r="D25" s="1">
        <v>910</v>
      </c>
      <c r="E25" s="1">
        <v>1</v>
      </c>
      <c r="F25" s="1" t="s">
        <v>15</v>
      </c>
      <c r="G25" s="1" t="b">
        <v>0</v>
      </c>
      <c r="H25" s="1">
        <v>1</v>
      </c>
      <c r="I25" s="1" t="b">
        <v>0</v>
      </c>
      <c r="J25" s="1">
        <v>54554.422958555602</v>
      </c>
      <c r="K25" s="1">
        <v>64010.200859365599</v>
      </c>
      <c r="L25" s="4">
        <v>1.17332742952837</v>
      </c>
      <c r="M25" s="1">
        <v>41.44</v>
      </c>
      <c r="N25" s="1">
        <v>4.0199999999999996</v>
      </c>
      <c r="O25" s="1">
        <v>7.6</v>
      </c>
      <c r="P25" s="8">
        <f>L25</f>
        <v>1.17332742952837</v>
      </c>
      <c r="Q25" s="8"/>
    </row>
    <row r="26" spans="1:17" x14ac:dyDescent="0.2">
      <c r="A26" s="2" t="s">
        <v>110</v>
      </c>
      <c r="B26" s="2">
        <v>1</v>
      </c>
      <c r="C26" s="2">
        <v>750</v>
      </c>
      <c r="D26" s="2">
        <v>910</v>
      </c>
      <c r="E26" s="2">
        <v>1</v>
      </c>
      <c r="F26" s="2" t="s">
        <v>15</v>
      </c>
      <c r="G26" s="2" t="b">
        <v>0</v>
      </c>
      <c r="H26" s="2">
        <v>1</v>
      </c>
      <c r="I26" s="2" t="b">
        <v>0</v>
      </c>
      <c r="J26" s="2">
        <v>49979.739058227999</v>
      </c>
      <c r="K26" s="2">
        <v>37550.887844195902</v>
      </c>
      <c r="L26" s="5">
        <v>0.75132220679359596</v>
      </c>
      <c r="M26" s="2">
        <v>35.03</v>
      </c>
      <c r="N26" s="2">
        <v>4.5</v>
      </c>
      <c r="O26" s="2">
        <v>6.9</v>
      </c>
      <c r="P26" s="8"/>
      <c r="Q26" s="8"/>
    </row>
    <row r="27" spans="1:17" x14ac:dyDescent="0.2">
      <c r="A27" t="s">
        <v>111</v>
      </c>
      <c r="B27">
        <v>1</v>
      </c>
      <c r="C27">
        <v>750</v>
      </c>
      <c r="D27">
        <v>910</v>
      </c>
      <c r="E27">
        <v>1</v>
      </c>
      <c r="F27" t="s">
        <v>15</v>
      </c>
      <c r="G27" t="b">
        <v>0</v>
      </c>
      <c r="H27">
        <v>1</v>
      </c>
      <c r="I27" t="b">
        <v>0</v>
      </c>
      <c r="J27">
        <v>53964.230722922599</v>
      </c>
      <c r="K27">
        <v>62041.843591959703</v>
      </c>
      <c r="L27" s="3">
        <v>1.1496845736671599</v>
      </c>
      <c r="M27">
        <v>29.43</v>
      </c>
      <c r="N27">
        <v>5.51</v>
      </c>
      <c r="O27">
        <v>11.19</v>
      </c>
      <c r="P27" s="8"/>
      <c r="Q27" s="8"/>
    </row>
    <row r="28" spans="1:17" x14ac:dyDescent="0.2">
      <c r="A28" s="1" t="s">
        <v>112</v>
      </c>
      <c r="B28" s="1">
        <v>1</v>
      </c>
      <c r="C28" s="1">
        <v>750</v>
      </c>
      <c r="D28" s="1">
        <v>910</v>
      </c>
      <c r="E28" s="1">
        <v>1</v>
      </c>
      <c r="F28" s="1" t="s">
        <v>15</v>
      </c>
      <c r="G28" s="1" t="b">
        <v>0</v>
      </c>
      <c r="H28" s="1">
        <v>1</v>
      </c>
      <c r="I28" s="1" t="b">
        <v>0</v>
      </c>
      <c r="J28" s="1">
        <v>43885.636354116999</v>
      </c>
      <c r="K28" s="1">
        <v>59695.206804406203</v>
      </c>
      <c r="L28" s="4">
        <v>1.36024475805068</v>
      </c>
      <c r="M28" s="1">
        <v>17.850000000000001</v>
      </c>
      <c r="N28" s="1">
        <v>7.11</v>
      </c>
      <c r="O28" s="1">
        <v>13.1</v>
      </c>
      <c r="P28" s="8">
        <f>AVERAGE(L26:L28)</f>
        <v>1.0870838461704786</v>
      </c>
      <c r="Q28" s="8">
        <f>STDEV(L26:L28)</f>
        <v>0.30925039477694172</v>
      </c>
    </row>
    <row r="29" spans="1:17" x14ac:dyDescent="0.2">
      <c r="A29" s="2" t="s">
        <v>113</v>
      </c>
      <c r="B29" s="2">
        <v>1</v>
      </c>
      <c r="C29" s="2">
        <v>750</v>
      </c>
      <c r="D29" s="2">
        <v>910</v>
      </c>
      <c r="E29" s="2">
        <v>1</v>
      </c>
      <c r="F29" s="2" t="s">
        <v>15</v>
      </c>
      <c r="G29" s="2" t="b">
        <v>0</v>
      </c>
      <c r="H29" s="2">
        <v>1</v>
      </c>
      <c r="I29" s="2" t="b">
        <v>0</v>
      </c>
      <c r="J29" s="2">
        <v>316483.03877983702</v>
      </c>
      <c r="K29" s="2">
        <v>635086.64894340897</v>
      </c>
      <c r="L29" s="5">
        <v>2.0067004266386799</v>
      </c>
      <c r="M29" s="2">
        <v>62.49</v>
      </c>
      <c r="N29" s="2">
        <v>14.53</v>
      </c>
      <c r="O29" s="2">
        <v>44.48</v>
      </c>
      <c r="P29" s="8"/>
      <c r="Q29" s="8"/>
    </row>
    <row r="30" spans="1:17" x14ac:dyDescent="0.2">
      <c r="A30" t="s">
        <v>114</v>
      </c>
      <c r="B30">
        <v>1</v>
      </c>
      <c r="C30">
        <v>750</v>
      </c>
      <c r="D30">
        <v>910</v>
      </c>
      <c r="E30">
        <v>1</v>
      </c>
      <c r="F30" t="s">
        <v>15</v>
      </c>
      <c r="G30" t="b">
        <v>0</v>
      </c>
      <c r="H30">
        <v>1</v>
      </c>
      <c r="I30" t="b">
        <v>0</v>
      </c>
      <c r="J30">
        <v>323702.30834092502</v>
      </c>
      <c r="K30">
        <v>667070.74525109096</v>
      </c>
      <c r="L30" s="3">
        <v>2.0607537483128602</v>
      </c>
      <c r="M30">
        <v>62.92</v>
      </c>
      <c r="N30">
        <v>14.73</v>
      </c>
      <c r="O30">
        <v>45.49</v>
      </c>
      <c r="P30" s="8"/>
      <c r="Q30" s="8"/>
    </row>
    <row r="31" spans="1:17" x14ac:dyDescent="0.2">
      <c r="A31" s="1" t="s">
        <v>115</v>
      </c>
      <c r="B31" s="1">
        <v>1</v>
      </c>
      <c r="C31" s="1">
        <v>750</v>
      </c>
      <c r="D31" s="1">
        <v>910</v>
      </c>
      <c r="E31" s="1">
        <v>1</v>
      </c>
      <c r="F31" s="1" t="s">
        <v>15</v>
      </c>
      <c r="G31" s="1" t="b">
        <v>0</v>
      </c>
      <c r="H31" s="1">
        <v>1</v>
      </c>
      <c r="I31" s="1" t="b">
        <v>0</v>
      </c>
      <c r="J31" s="1">
        <v>321978.138239477</v>
      </c>
      <c r="K31" s="1">
        <v>662580.65628619597</v>
      </c>
      <c r="L31" s="4">
        <v>2.0578436160575202</v>
      </c>
      <c r="M31" s="1">
        <v>63.62</v>
      </c>
      <c r="N31" s="1">
        <v>14.5</v>
      </c>
      <c r="O31" s="1">
        <v>45.04</v>
      </c>
      <c r="P31" s="8">
        <f>AVERAGE(L29:L31)</f>
        <v>2.0417659303363536</v>
      </c>
      <c r="Q31" s="8">
        <f>STDEV(L29:L31)</f>
        <v>3.0402456802280972E-2</v>
      </c>
    </row>
    <row r="32" spans="1:17" x14ac:dyDescent="0.2">
      <c r="A32" s="2" t="s">
        <v>116</v>
      </c>
      <c r="B32" s="2">
        <v>1</v>
      </c>
      <c r="C32" s="2">
        <v>750</v>
      </c>
      <c r="D32" s="2">
        <v>910</v>
      </c>
      <c r="E32" s="2">
        <v>1</v>
      </c>
      <c r="F32" s="2" t="s">
        <v>15</v>
      </c>
      <c r="G32" s="2" t="b">
        <v>0</v>
      </c>
      <c r="H32" s="2">
        <v>1</v>
      </c>
      <c r="I32" s="2" t="b">
        <v>0</v>
      </c>
      <c r="J32" s="2">
        <v>299825.82145530602</v>
      </c>
      <c r="K32" s="2">
        <v>674978.14245926205</v>
      </c>
      <c r="L32" s="5">
        <v>2.2512341971849699</v>
      </c>
      <c r="M32" s="2">
        <v>52.61</v>
      </c>
      <c r="N32" s="2">
        <v>16.649999999999999</v>
      </c>
      <c r="O32" s="2">
        <v>52.75</v>
      </c>
      <c r="P32" s="8"/>
      <c r="Q32" s="8"/>
    </row>
    <row r="33" spans="1:17" x14ac:dyDescent="0.2">
      <c r="A33" t="s">
        <v>117</v>
      </c>
      <c r="B33">
        <v>1</v>
      </c>
      <c r="C33">
        <v>750</v>
      </c>
      <c r="D33">
        <v>910</v>
      </c>
      <c r="E33">
        <v>1</v>
      </c>
      <c r="F33" t="s">
        <v>15</v>
      </c>
      <c r="G33" t="b">
        <v>0</v>
      </c>
      <c r="H33">
        <v>1</v>
      </c>
      <c r="I33" t="b">
        <v>0</v>
      </c>
      <c r="J33">
        <v>314075.76779132697</v>
      </c>
      <c r="K33">
        <v>653605.44417286501</v>
      </c>
      <c r="L33" s="3">
        <v>2.0810438473786399</v>
      </c>
      <c r="M33">
        <v>62.68</v>
      </c>
      <c r="N33">
        <v>14.5</v>
      </c>
      <c r="O33">
        <v>44.6</v>
      </c>
      <c r="P33" s="8"/>
      <c r="Q33" s="8"/>
    </row>
    <row r="34" spans="1:17" x14ac:dyDescent="0.2">
      <c r="A34" s="1" t="s">
        <v>118</v>
      </c>
      <c r="B34" s="1">
        <v>1</v>
      </c>
      <c r="C34" s="1">
        <v>750</v>
      </c>
      <c r="D34" s="1">
        <v>910</v>
      </c>
      <c r="E34" s="1">
        <v>1</v>
      </c>
      <c r="F34" s="1" t="s">
        <v>15</v>
      </c>
      <c r="G34" s="1" t="b">
        <v>0</v>
      </c>
      <c r="H34" s="1">
        <v>1</v>
      </c>
      <c r="I34" s="1" t="b">
        <v>0</v>
      </c>
      <c r="J34" s="1">
        <v>316528.20736519399</v>
      </c>
      <c r="K34" s="1">
        <v>683464.05871125904</v>
      </c>
      <c r="L34" s="4">
        <v>2.1592516648056899</v>
      </c>
      <c r="M34" s="1">
        <v>57.7</v>
      </c>
      <c r="N34" s="1">
        <v>15.79</v>
      </c>
      <c r="O34" s="1">
        <v>49.38</v>
      </c>
      <c r="P34" s="8">
        <f>AVERAGE(L32:L34)</f>
        <v>2.1638432364564335</v>
      </c>
      <c r="Q34" s="8">
        <f>STDEV(L32:L34)</f>
        <v>8.5188031374531542E-2</v>
      </c>
    </row>
    <row r="35" spans="1:17" x14ac:dyDescent="0.2">
      <c r="P35" s="8"/>
      <c r="Q35" s="8"/>
    </row>
    <row r="36" spans="1:17" x14ac:dyDescent="0.2">
      <c r="B36" t="s">
        <v>0</v>
      </c>
      <c r="C36" t="s">
        <v>1</v>
      </c>
      <c r="D36" t="s">
        <v>2</v>
      </c>
      <c r="E36" t="s">
        <v>3</v>
      </c>
      <c r="F36" t="s">
        <v>4</v>
      </c>
      <c r="G36" t="s">
        <v>5</v>
      </c>
      <c r="H36" t="s">
        <v>6</v>
      </c>
      <c r="I36" t="s">
        <v>7</v>
      </c>
      <c r="J36" t="s">
        <v>8</v>
      </c>
      <c r="K36" t="s">
        <v>9</v>
      </c>
      <c r="L36" s="3" t="s">
        <v>10</v>
      </c>
      <c r="M36" t="s">
        <v>11</v>
      </c>
      <c r="N36" t="s">
        <v>12</v>
      </c>
      <c r="O36" t="s">
        <v>13</v>
      </c>
      <c r="P36" s="8"/>
      <c r="Q36" s="8"/>
    </row>
    <row r="37" spans="1:17" x14ac:dyDescent="0.2">
      <c r="A37" t="s">
        <v>36</v>
      </c>
      <c r="B37">
        <v>0.1</v>
      </c>
      <c r="C37">
        <v>750</v>
      </c>
      <c r="D37">
        <v>910</v>
      </c>
      <c r="E37">
        <v>1</v>
      </c>
      <c r="F37" t="s">
        <v>15</v>
      </c>
      <c r="G37" t="b">
        <v>0</v>
      </c>
      <c r="H37">
        <v>1</v>
      </c>
      <c r="I37" t="b">
        <v>0</v>
      </c>
      <c r="J37">
        <v>14102.791030402699</v>
      </c>
      <c r="K37">
        <v>36820.563360772197</v>
      </c>
      <c r="L37" s="3">
        <v>2.6108706625088902</v>
      </c>
      <c r="M37">
        <v>5.35</v>
      </c>
      <c r="N37">
        <v>10.68</v>
      </c>
      <c r="O37">
        <v>30.16</v>
      </c>
      <c r="P37" s="8"/>
      <c r="Q37" s="8"/>
    </row>
    <row r="38" spans="1:17" x14ac:dyDescent="0.2">
      <c r="A38" t="s">
        <v>37</v>
      </c>
      <c r="B38">
        <v>1</v>
      </c>
      <c r="C38">
        <v>750</v>
      </c>
      <c r="D38">
        <v>910</v>
      </c>
      <c r="E38">
        <v>1</v>
      </c>
      <c r="F38" t="s">
        <v>15</v>
      </c>
      <c r="G38" t="b">
        <v>0</v>
      </c>
      <c r="H38">
        <v>1</v>
      </c>
      <c r="I38" t="b">
        <v>0</v>
      </c>
      <c r="J38">
        <v>14462.267105991201</v>
      </c>
      <c r="K38">
        <v>58271.139700688698</v>
      </c>
      <c r="L38" s="3">
        <v>4.0291843093223596</v>
      </c>
      <c r="M38">
        <v>2.5</v>
      </c>
      <c r="N38">
        <v>17.73</v>
      </c>
      <c r="O38">
        <v>99.5</v>
      </c>
      <c r="P38" s="8"/>
      <c r="Q38" s="8"/>
    </row>
    <row r="39" spans="1:17" x14ac:dyDescent="0.2">
      <c r="A39" s="1" t="s">
        <v>38</v>
      </c>
      <c r="B39" s="1">
        <v>1</v>
      </c>
      <c r="C39" s="1">
        <v>750</v>
      </c>
      <c r="D39" s="1">
        <v>910</v>
      </c>
      <c r="E39" s="1">
        <v>1</v>
      </c>
      <c r="F39" s="1" t="s">
        <v>15</v>
      </c>
      <c r="G39" s="1" t="b">
        <v>0</v>
      </c>
      <c r="H39" s="1">
        <v>1</v>
      </c>
      <c r="I39" s="1" t="b">
        <v>0</v>
      </c>
      <c r="J39" s="1">
        <v>12130.8373625063</v>
      </c>
      <c r="K39" s="1">
        <v>46091.336287183804</v>
      </c>
      <c r="L39" s="4">
        <v>3.79951811320475</v>
      </c>
      <c r="M39" s="1">
        <v>2.19</v>
      </c>
      <c r="N39" s="1">
        <v>26.11</v>
      </c>
      <c r="O39" s="1">
        <v>87.81</v>
      </c>
      <c r="P39" s="8"/>
      <c r="Q39" s="8"/>
    </row>
    <row r="40" spans="1:17" x14ac:dyDescent="0.2">
      <c r="A40" s="2" t="s">
        <v>39</v>
      </c>
      <c r="B40" s="2">
        <v>1</v>
      </c>
      <c r="C40" s="2">
        <v>750</v>
      </c>
      <c r="D40" s="2">
        <v>910</v>
      </c>
      <c r="E40" s="2">
        <v>1</v>
      </c>
      <c r="F40" s="2" t="s">
        <v>15</v>
      </c>
      <c r="G40" s="2" t="b">
        <v>0</v>
      </c>
      <c r="H40" s="2">
        <v>1</v>
      </c>
      <c r="I40" s="2" t="b">
        <v>0</v>
      </c>
      <c r="J40" s="2">
        <v>10873.709806955399</v>
      </c>
      <c r="K40" s="2">
        <v>47267.943722677497</v>
      </c>
      <c r="L40" s="5">
        <v>4.3469933042026101</v>
      </c>
      <c r="M40" s="2">
        <v>3.42</v>
      </c>
      <c r="N40" s="2">
        <v>9.01</v>
      </c>
      <c r="O40" s="2">
        <v>59.41</v>
      </c>
      <c r="P40" s="8"/>
      <c r="Q40" s="8"/>
    </row>
    <row r="41" spans="1:17" s="43" customFormat="1" x14ac:dyDescent="0.2">
      <c r="A41" s="43" t="s">
        <v>40</v>
      </c>
      <c r="B41" s="43">
        <v>1</v>
      </c>
      <c r="C41" s="43">
        <v>750</v>
      </c>
      <c r="D41" s="43">
        <v>910</v>
      </c>
      <c r="E41" s="43">
        <v>1</v>
      </c>
      <c r="F41" s="43" t="s">
        <v>15</v>
      </c>
      <c r="G41" s="43" t="b">
        <v>0</v>
      </c>
      <c r="H41" s="43">
        <v>1</v>
      </c>
      <c r="I41" s="43" t="b">
        <v>0</v>
      </c>
      <c r="J41" s="43">
        <v>10440.7500260539</v>
      </c>
      <c r="K41" s="43">
        <v>-6129.8927197867397</v>
      </c>
      <c r="L41" s="47">
        <v>-0.58711229600269399</v>
      </c>
      <c r="M41" s="43">
        <v>3.59</v>
      </c>
      <c r="N41" s="43">
        <v>13.54</v>
      </c>
      <c r="O41" s="43">
        <v>42.61</v>
      </c>
      <c r="P41" s="48"/>
      <c r="Q41" s="48"/>
    </row>
    <row r="42" spans="1:17" x14ac:dyDescent="0.2">
      <c r="A42" t="s">
        <v>41</v>
      </c>
      <c r="B42">
        <v>1</v>
      </c>
      <c r="C42">
        <v>750</v>
      </c>
      <c r="D42">
        <v>910</v>
      </c>
      <c r="E42">
        <v>1</v>
      </c>
      <c r="F42" t="s">
        <v>15</v>
      </c>
      <c r="G42" t="b">
        <v>0</v>
      </c>
      <c r="H42">
        <v>1</v>
      </c>
      <c r="I42" t="b">
        <v>0</v>
      </c>
      <c r="J42">
        <v>10215.756258883201</v>
      </c>
      <c r="K42">
        <v>65205.0767605246</v>
      </c>
      <c r="L42" s="3">
        <v>6.3827948815659097</v>
      </c>
      <c r="M42">
        <v>1.74</v>
      </c>
      <c r="N42">
        <v>23.88</v>
      </c>
      <c r="O42">
        <v>134.24</v>
      </c>
      <c r="P42" s="8"/>
      <c r="Q42" s="8"/>
    </row>
    <row r="43" spans="1:17" x14ac:dyDescent="0.2">
      <c r="A43" s="1" t="s">
        <v>42</v>
      </c>
      <c r="B43" s="1">
        <v>1</v>
      </c>
      <c r="C43" s="1">
        <v>750</v>
      </c>
      <c r="D43" s="1">
        <v>910</v>
      </c>
      <c r="E43" s="1">
        <v>1</v>
      </c>
      <c r="F43" s="1" t="s">
        <v>15</v>
      </c>
      <c r="G43" s="1" t="b">
        <v>0</v>
      </c>
      <c r="H43" s="1">
        <v>1</v>
      </c>
      <c r="I43" s="1" t="b">
        <v>0</v>
      </c>
      <c r="J43" s="1">
        <v>11962.094128209301</v>
      </c>
      <c r="K43" s="1">
        <v>69394.888894192802</v>
      </c>
      <c r="L43" s="4">
        <v>5.8012324723765403</v>
      </c>
      <c r="M43" s="1">
        <v>2.23</v>
      </c>
      <c r="N43" s="1">
        <v>23.23</v>
      </c>
      <c r="O43" s="1">
        <v>117.59</v>
      </c>
      <c r="P43" s="8">
        <f>AVERAGE(L40,L42:L43)</f>
        <v>5.5103402193816864</v>
      </c>
      <c r="Q43" s="8">
        <f>STDEV(L40,L42:L43)</f>
        <v>1.0486113401723456</v>
      </c>
    </row>
    <row r="44" spans="1:17" x14ac:dyDescent="0.2">
      <c r="A44" s="2" t="s">
        <v>43</v>
      </c>
      <c r="B44" s="2">
        <v>1</v>
      </c>
      <c r="C44" s="2">
        <v>2587</v>
      </c>
      <c r="D44" s="2">
        <v>3179</v>
      </c>
      <c r="E44" s="2">
        <v>1</v>
      </c>
      <c r="F44" s="2" t="s">
        <v>15</v>
      </c>
      <c r="G44" s="2" t="b">
        <v>1</v>
      </c>
      <c r="H44" s="2">
        <v>1</v>
      </c>
      <c r="I44" s="2" t="b">
        <v>0</v>
      </c>
      <c r="J44" s="2">
        <v>13843.5886461061</v>
      </c>
      <c r="K44" s="2">
        <v>20447.122946376701</v>
      </c>
      <c r="L44" s="5">
        <v>1.4770102947351</v>
      </c>
      <c r="M44" s="2">
        <v>4.41</v>
      </c>
      <c r="N44" s="2">
        <v>14.1</v>
      </c>
      <c r="O44" s="2">
        <v>20.88</v>
      </c>
      <c r="P44" s="8"/>
      <c r="Q44" s="8"/>
    </row>
    <row r="45" spans="1:17" x14ac:dyDescent="0.2">
      <c r="A45" t="s">
        <v>44</v>
      </c>
      <c r="B45">
        <v>1</v>
      </c>
      <c r="C45">
        <v>750</v>
      </c>
      <c r="D45">
        <v>910</v>
      </c>
      <c r="E45">
        <v>1</v>
      </c>
      <c r="F45" t="s">
        <v>15</v>
      </c>
      <c r="G45" t="b">
        <v>0</v>
      </c>
      <c r="H45">
        <v>1</v>
      </c>
      <c r="I45" t="b">
        <v>1</v>
      </c>
      <c r="J45">
        <v>16083.3289952454</v>
      </c>
      <c r="K45">
        <v>25248.094588907999</v>
      </c>
      <c r="L45" s="3">
        <v>1.5698301387960101</v>
      </c>
      <c r="M45">
        <v>3.62</v>
      </c>
      <c r="N45">
        <v>15.51</v>
      </c>
      <c r="O45">
        <v>35.83</v>
      </c>
      <c r="P45" s="8"/>
      <c r="Q45" s="8"/>
    </row>
    <row r="46" spans="1:17" x14ac:dyDescent="0.2">
      <c r="A46" s="1" t="s">
        <v>45</v>
      </c>
      <c r="B46" s="1">
        <v>1</v>
      </c>
      <c r="C46" s="1">
        <v>2508</v>
      </c>
      <c r="D46" s="1">
        <v>3187</v>
      </c>
      <c r="E46" s="1">
        <v>0.1</v>
      </c>
      <c r="F46" s="1" t="s">
        <v>15</v>
      </c>
      <c r="G46" s="1" t="b">
        <v>1</v>
      </c>
      <c r="H46" s="1">
        <v>1</v>
      </c>
      <c r="I46" s="1" t="b">
        <v>1</v>
      </c>
      <c r="J46" s="1">
        <v>15829.964580456101</v>
      </c>
      <c r="K46" s="1">
        <v>28617.1811323935</v>
      </c>
      <c r="L46" s="4">
        <v>1.8077855441145201</v>
      </c>
      <c r="M46" s="1">
        <v>4.46</v>
      </c>
      <c r="N46" s="1">
        <v>11.88</v>
      </c>
      <c r="O46" s="1">
        <v>27.78</v>
      </c>
      <c r="P46" s="8"/>
      <c r="Q46" s="8"/>
    </row>
    <row r="47" spans="1:17" x14ac:dyDescent="0.2">
      <c r="A47" s="2" t="s">
        <v>46</v>
      </c>
      <c r="B47" s="2">
        <v>1</v>
      </c>
      <c r="C47" s="2">
        <v>750</v>
      </c>
      <c r="D47" s="2">
        <v>910</v>
      </c>
      <c r="E47" s="2">
        <v>1</v>
      </c>
      <c r="F47" s="2" t="s">
        <v>15</v>
      </c>
      <c r="G47" s="2" t="b">
        <v>0</v>
      </c>
      <c r="H47" s="2">
        <v>1</v>
      </c>
      <c r="I47" s="2" t="b">
        <v>0</v>
      </c>
      <c r="J47" s="2">
        <v>4967.24149545008</v>
      </c>
      <c r="K47" s="2">
        <v>10202.0022489169</v>
      </c>
      <c r="L47" s="5">
        <v>2.0538567046240499</v>
      </c>
      <c r="M47" s="2">
        <v>2.16</v>
      </c>
      <c r="N47" s="2">
        <v>8.01</v>
      </c>
      <c r="O47" s="2">
        <v>23.3</v>
      </c>
      <c r="P47" s="8"/>
      <c r="Q47" s="8"/>
    </row>
    <row r="48" spans="1:17" x14ac:dyDescent="0.2">
      <c r="A48" t="s">
        <v>47</v>
      </c>
      <c r="B48">
        <v>1</v>
      </c>
      <c r="C48">
        <v>750</v>
      </c>
      <c r="D48">
        <v>910</v>
      </c>
      <c r="E48">
        <v>1</v>
      </c>
      <c r="F48" t="s">
        <v>15</v>
      </c>
      <c r="G48" t="b">
        <v>0</v>
      </c>
      <c r="H48">
        <v>1</v>
      </c>
      <c r="I48" t="b">
        <v>0</v>
      </c>
      <c r="J48">
        <v>12291.1458255528</v>
      </c>
      <c r="K48">
        <v>28225.161427411102</v>
      </c>
      <c r="L48" s="3">
        <v>2.2963816252779301</v>
      </c>
      <c r="M48">
        <v>3.55</v>
      </c>
      <c r="N48">
        <v>11.84</v>
      </c>
      <c r="O48">
        <v>37.200000000000003</v>
      </c>
      <c r="P48" s="8"/>
      <c r="Q48" s="8"/>
    </row>
    <row r="49" spans="1:17" x14ac:dyDescent="0.2">
      <c r="A49" s="1" t="s">
        <v>48</v>
      </c>
      <c r="B49" s="1">
        <v>1</v>
      </c>
      <c r="C49" s="1">
        <v>750</v>
      </c>
      <c r="D49" s="1">
        <v>910</v>
      </c>
      <c r="E49" s="1">
        <v>1</v>
      </c>
      <c r="F49" s="1" t="s">
        <v>15</v>
      </c>
      <c r="G49" s="1" t="b">
        <v>0</v>
      </c>
      <c r="H49" s="1">
        <v>1</v>
      </c>
      <c r="I49" s="1" t="b">
        <v>0</v>
      </c>
      <c r="J49" s="1">
        <v>11603.3179837554</v>
      </c>
      <c r="K49" s="1">
        <v>26865.094575267802</v>
      </c>
      <c r="L49" s="4">
        <v>2.3152941781720302</v>
      </c>
      <c r="M49" s="1">
        <v>3.34</v>
      </c>
      <c r="N49" s="1">
        <v>11.93</v>
      </c>
      <c r="O49" s="1">
        <v>36.03</v>
      </c>
      <c r="P49" s="8"/>
      <c r="Q49" s="8"/>
    </row>
    <row r="50" spans="1:17" x14ac:dyDescent="0.2">
      <c r="A50" t="s">
        <v>49</v>
      </c>
      <c r="B50">
        <v>1</v>
      </c>
      <c r="C50">
        <v>750</v>
      </c>
      <c r="D50">
        <v>910</v>
      </c>
      <c r="E50">
        <v>1</v>
      </c>
      <c r="F50" t="s">
        <v>15</v>
      </c>
      <c r="G50" t="b">
        <v>0</v>
      </c>
      <c r="H50">
        <v>1</v>
      </c>
      <c r="I50" t="b">
        <v>0</v>
      </c>
      <c r="J50">
        <v>9340.5679763034695</v>
      </c>
      <c r="K50">
        <v>32785.676612232099</v>
      </c>
      <c r="L50" s="3">
        <v>3.5100302995928701</v>
      </c>
      <c r="M50">
        <v>2.69</v>
      </c>
      <c r="N50">
        <v>11.54</v>
      </c>
      <c r="O50">
        <v>55.86</v>
      </c>
      <c r="P50" s="8"/>
      <c r="Q50" s="8"/>
    </row>
    <row r="51" spans="1:17" x14ac:dyDescent="0.2">
      <c r="A51" s="1" t="s">
        <v>50</v>
      </c>
      <c r="B51" s="1">
        <v>1</v>
      </c>
      <c r="C51" s="1">
        <v>750</v>
      </c>
      <c r="D51" s="1">
        <v>910</v>
      </c>
      <c r="E51" s="1">
        <v>1</v>
      </c>
      <c r="F51" s="1" t="s">
        <v>15</v>
      </c>
      <c r="G51" s="1" t="b">
        <v>0</v>
      </c>
      <c r="H51" s="1">
        <v>1</v>
      </c>
      <c r="I51" s="1" t="b">
        <v>0</v>
      </c>
      <c r="J51" s="1">
        <v>13964.211578296299</v>
      </c>
      <c r="K51" s="1">
        <v>133964.898470171</v>
      </c>
      <c r="L51" s="4">
        <v>9.5934451951719204</v>
      </c>
      <c r="M51" s="1">
        <v>8.35</v>
      </c>
      <c r="N51" s="1">
        <v>5.95</v>
      </c>
      <c r="O51" s="1">
        <v>32.64</v>
      </c>
      <c r="P51" s="8">
        <f>AVERAGE(L50)</f>
        <v>3.5100302995928701</v>
      </c>
      <c r="Q51" s="8"/>
    </row>
    <row r="52" spans="1:17" x14ac:dyDescent="0.2">
      <c r="A52" s="2" t="s">
        <v>51</v>
      </c>
      <c r="B52" s="2">
        <v>1</v>
      </c>
      <c r="C52" s="2">
        <v>750</v>
      </c>
      <c r="D52" s="2">
        <v>910</v>
      </c>
      <c r="E52" s="2">
        <v>1</v>
      </c>
      <c r="F52" s="2" t="s">
        <v>15</v>
      </c>
      <c r="G52" s="2" t="b">
        <v>0</v>
      </c>
      <c r="H52" s="2">
        <v>1</v>
      </c>
      <c r="I52" s="2" t="b">
        <v>1</v>
      </c>
      <c r="J52" s="2">
        <v>12899.9320246846</v>
      </c>
      <c r="K52" s="2">
        <v>10919.0583296407</v>
      </c>
      <c r="L52" s="5">
        <v>0.84644309045556398</v>
      </c>
      <c r="M52" s="2">
        <v>2.5</v>
      </c>
      <c r="N52" s="2">
        <v>19.34</v>
      </c>
      <c r="O52" s="2">
        <v>19.93</v>
      </c>
      <c r="P52" s="8"/>
      <c r="Q52" s="8"/>
    </row>
    <row r="53" spans="1:17" x14ac:dyDescent="0.2">
      <c r="A53" t="s">
        <v>52</v>
      </c>
      <c r="B53">
        <v>1</v>
      </c>
      <c r="C53">
        <v>750</v>
      </c>
      <c r="D53">
        <v>910</v>
      </c>
      <c r="E53">
        <v>1</v>
      </c>
      <c r="F53" t="s">
        <v>15</v>
      </c>
      <c r="G53" t="b">
        <v>0</v>
      </c>
      <c r="H53">
        <v>1</v>
      </c>
      <c r="I53" t="b">
        <v>0</v>
      </c>
      <c r="J53">
        <v>13979.8535535674</v>
      </c>
      <c r="K53">
        <v>10351.163052419801</v>
      </c>
      <c r="L53" s="3">
        <v>0.74043429802441696</v>
      </c>
      <c r="M53">
        <v>2.8</v>
      </c>
      <c r="N53">
        <v>18.52</v>
      </c>
      <c r="O53">
        <v>17.739999999999998</v>
      </c>
      <c r="P53" s="8"/>
      <c r="Q53" s="8"/>
    </row>
    <row r="54" spans="1:17" x14ac:dyDescent="0.2">
      <c r="A54" t="s">
        <v>53</v>
      </c>
      <c r="B54">
        <v>1</v>
      </c>
      <c r="C54">
        <v>750</v>
      </c>
      <c r="D54">
        <v>910</v>
      </c>
      <c r="E54">
        <v>1</v>
      </c>
      <c r="F54" t="s">
        <v>15</v>
      </c>
      <c r="G54" t="b">
        <v>0</v>
      </c>
      <c r="H54">
        <v>1</v>
      </c>
      <c r="I54" t="b">
        <v>0</v>
      </c>
      <c r="J54">
        <v>15943.368793510699</v>
      </c>
      <c r="K54">
        <v>11596.623197096</v>
      </c>
      <c r="L54" s="3">
        <v>0.72736341655824499</v>
      </c>
      <c r="M54">
        <v>3.18</v>
      </c>
      <c r="N54">
        <v>18.25</v>
      </c>
      <c r="O54">
        <v>17.04</v>
      </c>
      <c r="P54" s="8"/>
      <c r="Q54" s="8"/>
    </row>
    <row r="55" spans="1:17" x14ac:dyDescent="0.2">
      <c r="A55" s="1" t="s">
        <v>54</v>
      </c>
      <c r="B55" s="1">
        <v>1</v>
      </c>
      <c r="C55" s="1">
        <v>750</v>
      </c>
      <c r="D55" s="1">
        <v>910</v>
      </c>
      <c r="E55" s="1">
        <v>1</v>
      </c>
      <c r="F55" s="1" t="s">
        <v>15</v>
      </c>
      <c r="G55" s="1" t="b">
        <v>0</v>
      </c>
      <c r="H55" s="1">
        <v>1</v>
      </c>
      <c r="I55" s="1" t="b">
        <v>0</v>
      </c>
      <c r="J55" s="1">
        <v>16257.576925326801</v>
      </c>
      <c r="K55" s="1">
        <v>9014.4784292111308</v>
      </c>
      <c r="L55" s="4">
        <v>0.55447859607958805</v>
      </c>
      <c r="M55" s="1">
        <v>3.07</v>
      </c>
      <c r="N55" s="1">
        <v>19.579999999999998</v>
      </c>
      <c r="O55" s="1">
        <v>15.25</v>
      </c>
      <c r="P55" s="8">
        <f>AVERAGE(L52:L55)</f>
        <v>0.71717985027945352</v>
      </c>
      <c r="Q55" s="8">
        <f>STDEV(L52:L55)</f>
        <v>0.12086515591230025</v>
      </c>
    </row>
    <row r="56" spans="1:17" x14ac:dyDescent="0.2">
      <c r="A56" s="2" t="s">
        <v>55</v>
      </c>
      <c r="B56" s="2">
        <v>1</v>
      </c>
      <c r="C56" s="2">
        <v>750</v>
      </c>
      <c r="D56" s="2">
        <v>910</v>
      </c>
      <c r="E56" s="2">
        <v>1</v>
      </c>
      <c r="F56" s="2" t="s">
        <v>15</v>
      </c>
      <c r="G56" s="2" t="b">
        <v>0</v>
      </c>
      <c r="H56" s="2">
        <v>1</v>
      </c>
      <c r="I56" s="2" t="b">
        <v>0</v>
      </c>
      <c r="J56" s="2">
        <v>12857.479863623699</v>
      </c>
      <c r="K56" s="2">
        <v>8745.9943635425298</v>
      </c>
      <c r="L56" s="5">
        <v>0.68022617622653903</v>
      </c>
      <c r="M56" s="2">
        <v>3.29</v>
      </c>
      <c r="N56" s="2">
        <v>14.62</v>
      </c>
      <c r="O56" s="2">
        <v>12.99</v>
      </c>
      <c r="P56" s="8"/>
      <c r="Q56" s="8"/>
    </row>
    <row r="57" spans="1:17" x14ac:dyDescent="0.2">
      <c r="A57" t="s">
        <v>56</v>
      </c>
      <c r="B57">
        <v>1</v>
      </c>
      <c r="C57">
        <v>750</v>
      </c>
      <c r="D57">
        <v>910</v>
      </c>
      <c r="E57">
        <v>1</v>
      </c>
      <c r="F57" t="s">
        <v>15</v>
      </c>
      <c r="G57" t="b">
        <v>0</v>
      </c>
      <c r="H57">
        <v>1</v>
      </c>
      <c r="I57" t="b">
        <v>0</v>
      </c>
      <c r="J57">
        <v>14852.7562236514</v>
      </c>
      <c r="K57">
        <v>11621.7918531057</v>
      </c>
      <c r="L57" s="3">
        <v>0.78246701676819297</v>
      </c>
      <c r="M57">
        <v>3.29</v>
      </c>
      <c r="N57">
        <v>16.97</v>
      </c>
      <c r="O57">
        <v>16.36</v>
      </c>
      <c r="P57" s="8"/>
      <c r="Q57" s="8"/>
    </row>
    <row r="58" spans="1:17" x14ac:dyDescent="0.2">
      <c r="A58" s="1" t="s">
        <v>57</v>
      </c>
      <c r="B58" s="1">
        <v>1</v>
      </c>
      <c r="C58" s="1">
        <v>750</v>
      </c>
      <c r="D58" s="1">
        <v>910</v>
      </c>
      <c r="E58" s="1">
        <v>1</v>
      </c>
      <c r="F58" s="1" t="s">
        <v>15</v>
      </c>
      <c r="G58" s="1" t="b">
        <v>0</v>
      </c>
      <c r="H58" s="1">
        <v>1</v>
      </c>
      <c r="I58" s="1" t="b">
        <v>0</v>
      </c>
      <c r="J58" s="1">
        <v>14474.787759692599</v>
      </c>
      <c r="K58" s="1">
        <v>10748.255470207199</v>
      </c>
      <c r="L58" s="4">
        <v>0.74255012568387802</v>
      </c>
      <c r="M58" s="1">
        <v>3.32</v>
      </c>
      <c r="N58" s="1">
        <v>16.059999999999999</v>
      </c>
      <c r="O58" s="1">
        <v>15.01</v>
      </c>
      <c r="P58" s="8">
        <f>AVERAGE(L56:L58)</f>
        <v>0.73508110622620337</v>
      </c>
      <c r="Q58" s="8">
        <f>STDEV(L56:L58)</f>
        <v>5.1528022059946367E-2</v>
      </c>
    </row>
    <row r="59" spans="1:17" x14ac:dyDescent="0.2">
      <c r="A59" t="s">
        <v>58</v>
      </c>
      <c r="B59">
        <v>1</v>
      </c>
      <c r="C59">
        <v>750</v>
      </c>
      <c r="D59">
        <v>910</v>
      </c>
      <c r="E59">
        <v>1</v>
      </c>
      <c r="F59" t="s">
        <v>15</v>
      </c>
      <c r="G59" t="b">
        <v>0</v>
      </c>
      <c r="H59">
        <v>1</v>
      </c>
      <c r="I59" t="b">
        <v>0</v>
      </c>
      <c r="J59">
        <v>11614.407795921999</v>
      </c>
      <c r="K59">
        <v>14527.395771663199</v>
      </c>
      <c r="L59" s="3">
        <v>1.25080813649095</v>
      </c>
      <c r="M59">
        <v>2.69</v>
      </c>
      <c r="N59">
        <v>15.47</v>
      </c>
      <c r="O59">
        <v>26.45</v>
      </c>
      <c r="P59" s="8"/>
      <c r="Q59" s="8"/>
    </row>
    <row r="60" spans="1:17" x14ac:dyDescent="0.2">
      <c r="A60" t="s">
        <v>59</v>
      </c>
      <c r="B60">
        <v>1</v>
      </c>
      <c r="C60">
        <v>750</v>
      </c>
      <c r="D60">
        <v>910</v>
      </c>
      <c r="E60">
        <v>1</v>
      </c>
      <c r="F60" t="s">
        <v>15</v>
      </c>
      <c r="G60" t="b">
        <v>0</v>
      </c>
      <c r="H60">
        <v>1</v>
      </c>
      <c r="I60" t="b">
        <v>0</v>
      </c>
      <c r="J60">
        <v>14575.796199283899</v>
      </c>
      <c r="K60">
        <v>18206.578407271201</v>
      </c>
      <c r="L60" s="3">
        <v>1.2490966639726699</v>
      </c>
      <c r="M60">
        <v>2.63</v>
      </c>
      <c r="N60">
        <v>19.97</v>
      </c>
      <c r="O60">
        <v>31.22</v>
      </c>
      <c r="P60" s="8"/>
      <c r="Q60" s="8"/>
    </row>
    <row r="61" spans="1:17" x14ac:dyDescent="0.2">
      <c r="A61" s="1" t="s">
        <v>60</v>
      </c>
      <c r="B61" s="1">
        <v>1</v>
      </c>
      <c r="C61" s="1">
        <v>750</v>
      </c>
      <c r="D61" s="1">
        <v>910</v>
      </c>
      <c r="E61" s="1">
        <v>1</v>
      </c>
      <c r="F61" s="1" t="s">
        <v>15</v>
      </c>
      <c r="G61" s="1" t="b">
        <v>0</v>
      </c>
      <c r="H61" s="1">
        <v>1</v>
      </c>
      <c r="I61" s="1" t="b">
        <v>0</v>
      </c>
      <c r="J61" s="1">
        <v>13250.488929805801</v>
      </c>
      <c r="K61" s="1">
        <v>15134.2092020325</v>
      </c>
      <c r="L61" s="4">
        <v>1.14216232187398</v>
      </c>
      <c r="M61" s="1">
        <v>2.8</v>
      </c>
      <c r="N61" s="1">
        <v>17.04</v>
      </c>
      <c r="O61" s="1">
        <v>26.23</v>
      </c>
      <c r="P61" s="8">
        <f>AVERAGE(L59:L61)</f>
        <v>1.2140223741125331</v>
      </c>
      <c r="Q61" s="8">
        <f>STDEV(L59:L61)</f>
        <v>6.2238513922979508E-2</v>
      </c>
    </row>
    <row r="62" spans="1:17" x14ac:dyDescent="0.2">
      <c r="P62" s="8"/>
      <c r="Q62" s="8"/>
    </row>
    <row r="63" spans="1:17" x14ac:dyDescent="0.2">
      <c r="B63" t="s">
        <v>0</v>
      </c>
      <c r="C63" t="s">
        <v>1</v>
      </c>
      <c r="D63" t="s">
        <v>2</v>
      </c>
      <c r="E63" t="s">
        <v>3</v>
      </c>
      <c r="F63" t="s">
        <v>4</v>
      </c>
      <c r="G63" t="s">
        <v>5</v>
      </c>
      <c r="H63" t="s">
        <v>6</v>
      </c>
      <c r="I63" t="s">
        <v>7</v>
      </c>
      <c r="J63" t="s">
        <v>8</v>
      </c>
      <c r="K63" t="s">
        <v>9</v>
      </c>
      <c r="L63" s="3" t="s">
        <v>10</v>
      </c>
      <c r="M63" t="s">
        <v>11</v>
      </c>
      <c r="N63" t="s">
        <v>12</v>
      </c>
      <c r="O63" t="s">
        <v>13</v>
      </c>
      <c r="P63" s="8"/>
      <c r="Q63" s="8"/>
    </row>
    <row r="64" spans="1:17" x14ac:dyDescent="0.2">
      <c r="A64" t="s">
        <v>61</v>
      </c>
      <c r="B64">
        <v>1</v>
      </c>
      <c r="C64">
        <v>750</v>
      </c>
      <c r="D64">
        <v>910</v>
      </c>
      <c r="E64">
        <v>1</v>
      </c>
      <c r="F64" t="s">
        <v>15</v>
      </c>
      <c r="G64" t="b">
        <v>0</v>
      </c>
      <c r="H64">
        <v>1</v>
      </c>
      <c r="I64" t="b">
        <v>1</v>
      </c>
      <c r="J64">
        <v>21622.759592845399</v>
      </c>
      <c r="K64">
        <v>57219.670683951103</v>
      </c>
      <c r="L64" s="3">
        <v>2.6462704928229299</v>
      </c>
      <c r="M64">
        <v>8.56</v>
      </c>
      <c r="N64">
        <v>6.82</v>
      </c>
      <c r="O64">
        <v>23.12</v>
      </c>
      <c r="P64" s="8"/>
      <c r="Q64" s="8"/>
    </row>
    <row r="65" spans="1:17" x14ac:dyDescent="0.2">
      <c r="A65" t="s">
        <v>62</v>
      </c>
      <c r="B65">
        <v>1</v>
      </c>
      <c r="C65">
        <v>750</v>
      </c>
      <c r="D65">
        <v>910</v>
      </c>
      <c r="E65">
        <v>1</v>
      </c>
      <c r="F65" t="s">
        <v>15</v>
      </c>
      <c r="G65" t="b">
        <v>0</v>
      </c>
      <c r="H65">
        <v>1</v>
      </c>
      <c r="I65" t="b">
        <v>0</v>
      </c>
      <c r="J65">
        <v>23185.062515055499</v>
      </c>
      <c r="K65">
        <v>64554.337127138999</v>
      </c>
      <c r="L65" s="3">
        <v>2.7843072273460501</v>
      </c>
      <c r="M65">
        <v>9</v>
      </c>
      <c r="N65">
        <v>7.02</v>
      </c>
      <c r="O65">
        <v>24.82</v>
      </c>
      <c r="P65" s="8"/>
      <c r="Q65" s="8"/>
    </row>
    <row r="66" spans="1:17" x14ac:dyDescent="0.2">
      <c r="A66" s="1" t="s">
        <v>63</v>
      </c>
      <c r="B66" s="1">
        <v>1</v>
      </c>
      <c r="C66" s="1">
        <v>750</v>
      </c>
      <c r="D66" s="1">
        <v>910</v>
      </c>
      <c r="E66" s="1">
        <v>1</v>
      </c>
      <c r="F66" s="1" t="s">
        <v>15</v>
      </c>
      <c r="G66" s="1" t="b">
        <v>0</v>
      </c>
      <c r="H66" s="1">
        <v>1</v>
      </c>
      <c r="I66" s="1" t="b">
        <v>0</v>
      </c>
      <c r="J66" s="1">
        <v>22573.483458439001</v>
      </c>
      <c r="K66" s="1">
        <v>65039.117498647</v>
      </c>
      <c r="L66" s="4">
        <v>2.8812175851544199</v>
      </c>
      <c r="M66" s="1">
        <v>10.119999999999999</v>
      </c>
      <c r="N66" s="1">
        <v>6.01</v>
      </c>
      <c r="O66" s="1">
        <v>21.9</v>
      </c>
      <c r="P66" s="8">
        <f>AVERAGE(L64:L66)</f>
        <v>2.7705984351078001</v>
      </c>
      <c r="Q66" s="8">
        <f>STDEV(L64:L66)</f>
        <v>0.11807193691656394</v>
      </c>
    </row>
    <row r="67" spans="1:17" x14ac:dyDescent="0.2">
      <c r="A67" s="2" t="s">
        <v>64</v>
      </c>
      <c r="B67" s="2">
        <v>1</v>
      </c>
      <c r="C67" s="2">
        <v>750</v>
      </c>
      <c r="D67" s="2">
        <v>910</v>
      </c>
      <c r="E67" s="2">
        <v>1</v>
      </c>
      <c r="F67" s="2" t="s">
        <v>15</v>
      </c>
      <c r="G67" s="2" t="b">
        <v>0</v>
      </c>
      <c r="H67" s="2">
        <v>1</v>
      </c>
      <c r="I67" s="2" t="b">
        <v>0</v>
      </c>
      <c r="J67" s="2">
        <v>24794.481835030099</v>
      </c>
      <c r="K67" s="2">
        <v>72356.120061934096</v>
      </c>
      <c r="L67" s="5">
        <v>2.91823481302634</v>
      </c>
      <c r="M67" s="2">
        <v>10.51</v>
      </c>
      <c r="N67" s="2">
        <v>6.44</v>
      </c>
      <c r="O67" s="2">
        <v>24.3</v>
      </c>
      <c r="P67" s="8"/>
      <c r="Q67" s="8"/>
    </row>
    <row r="68" spans="1:17" x14ac:dyDescent="0.2">
      <c r="A68" t="s">
        <v>65</v>
      </c>
      <c r="B68">
        <v>1</v>
      </c>
      <c r="C68">
        <v>750</v>
      </c>
      <c r="D68">
        <v>910</v>
      </c>
      <c r="E68">
        <v>1</v>
      </c>
      <c r="F68" t="s">
        <v>15</v>
      </c>
      <c r="G68" t="b">
        <v>0</v>
      </c>
      <c r="H68">
        <v>1</v>
      </c>
      <c r="I68" t="b">
        <v>1</v>
      </c>
      <c r="J68">
        <v>26670.716165234498</v>
      </c>
      <c r="K68">
        <v>65037.442366865696</v>
      </c>
      <c r="L68" s="3">
        <v>2.43853378229274</v>
      </c>
      <c r="M68">
        <v>13.33</v>
      </c>
      <c r="N68">
        <v>5.51</v>
      </c>
      <c r="O68">
        <v>17.87</v>
      </c>
      <c r="P68" s="8"/>
      <c r="Q68" s="8"/>
    </row>
    <row r="69" spans="1:17" x14ac:dyDescent="0.2">
      <c r="A69" s="1" t="s">
        <v>66</v>
      </c>
      <c r="B69" s="1">
        <v>1</v>
      </c>
      <c r="C69" s="1">
        <v>750</v>
      </c>
      <c r="D69" s="1">
        <v>910</v>
      </c>
      <c r="E69" s="1">
        <v>1</v>
      </c>
      <c r="F69" s="1" t="s">
        <v>15</v>
      </c>
      <c r="G69" s="1" t="b">
        <v>0</v>
      </c>
      <c r="H69" s="1">
        <v>1</v>
      </c>
      <c r="I69" s="1" t="b">
        <v>0</v>
      </c>
      <c r="J69" s="1">
        <v>23824.3723361421</v>
      </c>
      <c r="K69" s="1">
        <v>56985.033581305201</v>
      </c>
      <c r="L69" s="4">
        <v>2.39187974303346</v>
      </c>
      <c r="M69" s="1">
        <v>10.96</v>
      </c>
      <c r="N69" s="1">
        <v>5.92</v>
      </c>
      <c r="O69" s="1">
        <v>18.14</v>
      </c>
      <c r="P69" s="8">
        <f>AVERAGE(L67:L69)</f>
        <v>2.5828827794508467</v>
      </c>
      <c r="Q69" s="8">
        <f>STDEV(L67:L69)</f>
        <v>0.29135869587540325</v>
      </c>
    </row>
    <row r="70" spans="1:17" x14ac:dyDescent="0.2">
      <c r="A70" s="2" t="s">
        <v>67</v>
      </c>
      <c r="B70" s="2">
        <v>1</v>
      </c>
      <c r="C70" s="2">
        <v>750</v>
      </c>
      <c r="D70" s="2">
        <v>910</v>
      </c>
      <c r="E70" s="2">
        <v>1</v>
      </c>
      <c r="F70" s="2" t="s">
        <v>15</v>
      </c>
      <c r="G70" s="2" t="b">
        <v>0</v>
      </c>
      <c r="H70" s="2">
        <v>1</v>
      </c>
      <c r="I70" s="2" t="b">
        <v>0</v>
      </c>
      <c r="J70" s="2">
        <v>16952.112054135399</v>
      </c>
      <c r="K70" s="2">
        <v>73883.0246273511</v>
      </c>
      <c r="L70" s="5">
        <v>4.3583374385097597</v>
      </c>
      <c r="M70" s="2">
        <v>9.16</v>
      </c>
      <c r="N70" s="2">
        <v>4.99</v>
      </c>
      <c r="O70" s="2">
        <v>28.48</v>
      </c>
      <c r="P70" s="8"/>
      <c r="Q70" s="8"/>
    </row>
    <row r="71" spans="1:17" x14ac:dyDescent="0.2">
      <c r="A71" t="s">
        <v>68</v>
      </c>
      <c r="B71">
        <v>1</v>
      </c>
      <c r="C71">
        <v>750</v>
      </c>
      <c r="D71">
        <v>910</v>
      </c>
      <c r="E71">
        <v>1</v>
      </c>
      <c r="F71" t="s">
        <v>15</v>
      </c>
      <c r="G71" t="b">
        <v>0</v>
      </c>
      <c r="H71">
        <v>1</v>
      </c>
      <c r="I71" t="b">
        <v>0</v>
      </c>
      <c r="J71">
        <v>16549.2267200594</v>
      </c>
      <c r="K71">
        <v>68281.578059850406</v>
      </c>
      <c r="L71" s="3">
        <v>4.1259678905169501</v>
      </c>
      <c r="M71">
        <v>5.4</v>
      </c>
      <c r="N71">
        <v>8.2899999999999991</v>
      </c>
      <c r="O71">
        <v>46.14</v>
      </c>
      <c r="P71" s="8"/>
      <c r="Q71" s="8"/>
    </row>
    <row r="72" spans="1:17" x14ac:dyDescent="0.2">
      <c r="A72" s="1" t="s">
        <v>69</v>
      </c>
      <c r="B72" s="1">
        <v>1</v>
      </c>
      <c r="C72" s="1">
        <v>750</v>
      </c>
      <c r="D72" s="1">
        <v>910</v>
      </c>
      <c r="E72" s="1">
        <v>1</v>
      </c>
      <c r="F72" s="1" t="s">
        <v>15</v>
      </c>
      <c r="G72" s="1" t="b">
        <v>0</v>
      </c>
      <c r="H72" s="1">
        <v>1</v>
      </c>
      <c r="I72" s="1" t="b">
        <v>0</v>
      </c>
      <c r="J72" s="1">
        <v>17024.944064429601</v>
      </c>
      <c r="K72" s="1">
        <v>70351.434982250503</v>
      </c>
      <c r="L72" s="4">
        <v>4.1322564535901396</v>
      </c>
      <c r="M72" s="1">
        <v>6.39</v>
      </c>
      <c r="N72" s="1">
        <v>7.29</v>
      </c>
      <c r="O72" s="1">
        <v>40.67</v>
      </c>
      <c r="P72" s="8">
        <f>AVERAGE(L70:L72)</f>
        <v>4.2055205942056171</v>
      </c>
      <c r="Q72" s="8">
        <f>STDEV(L70:L72)</f>
        <v>0.13238061577772231</v>
      </c>
    </row>
    <row r="73" spans="1:17" x14ac:dyDescent="0.2">
      <c r="A73" s="2" t="s">
        <v>70</v>
      </c>
      <c r="B73" s="2">
        <v>1</v>
      </c>
      <c r="C73" s="2">
        <v>750</v>
      </c>
      <c r="D73" s="2">
        <v>910</v>
      </c>
      <c r="E73" s="2">
        <v>1</v>
      </c>
      <c r="F73" s="2" t="s">
        <v>15</v>
      </c>
      <c r="G73" s="2" t="b">
        <v>0</v>
      </c>
      <c r="H73" s="2">
        <v>1</v>
      </c>
      <c r="I73" s="2" t="b">
        <v>0</v>
      </c>
      <c r="J73" s="2">
        <v>17049.156676699298</v>
      </c>
      <c r="K73" s="2">
        <v>68613.538080491693</v>
      </c>
      <c r="L73" s="5">
        <v>4.0244534894951203</v>
      </c>
      <c r="M73" s="2">
        <v>6.71</v>
      </c>
      <c r="N73" s="2">
        <v>6.89</v>
      </c>
      <c r="O73" s="2">
        <v>37.950000000000003</v>
      </c>
      <c r="P73" s="8"/>
      <c r="Q73" s="8"/>
    </row>
    <row r="74" spans="1:17" x14ac:dyDescent="0.2">
      <c r="A74" t="s">
        <v>71</v>
      </c>
      <c r="B74">
        <v>1</v>
      </c>
      <c r="C74">
        <v>750</v>
      </c>
      <c r="D74">
        <v>910</v>
      </c>
      <c r="E74">
        <v>1</v>
      </c>
      <c r="F74" t="s">
        <v>15</v>
      </c>
      <c r="G74" t="b">
        <v>0</v>
      </c>
      <c r="H74">
        <v>1</v>
      </c>
      <c r="I74" t="b">
        <v>0</v>
      </c>
      <c r="J74">
        <v>15416.266131402501</v>
      </c>
      <c r="K74">
        <v>64882.7844783705</v>
      </c>
      <c r="L74" s="3">
        <v>4.2087223926555</v>
      </c>
      <c r="M74">
        <v>5.68</v>
      </c>
      <c r="N74">
        <v>7.47</v>
      </c>
      <c r="O74">
        <v>42.29</v>
      </c>
      <c r="P74" s="8"/>
      <c r="Q74" s="8"/>
    </row>
    <row r="75" spans="1:17" x14ac:dyDescent="0.2">
      <c r="A75" s="1" t="s">
        <v>72</v>
      </c>
      <c r="B75" s="1">
        <v>1</v>
      </c>
      <c r="C75" s="1">
        <v>750</v>
      </c>
      <c r="D75" s="1">
        <v>910</v>
      </c>
      <c r="E75" s="1">
        <v>1</v>
      </c>
      <c r="F75" s="1" t="s">
        <v>15</v>
      </c>
      <c r="G75" s="1" t="b">
        <v>0</v>
      </c>
      <c r="H75" s="1">
        <v>1</v>
      </c>
      <c r="I75" s="1" t="b">
        <v>1</v>
      </c>
      <c r="J75" s="1">
        <v>18285.989898643002</v>
      </c>
      <c r="K75" s="1">
        <v>76679.977938884695</v>
      </c>
      <c r="L75" s="4">
        <v>4.1933730885728604</v>
      </c>
      <c r="M75" s="1">
        <v>5.53</v>
      </c>
      <c r="N75" s="1">
        <v>9.2100000000000009</v>
      </c>
      <c r="O75" s="1">
        <v>51.58</v>
      </c>
      <c r="P75" s="8">
        <f>AVERAGE(L73:L75)</f>
        <v>4.1421829902411602</v>
      </c>
      <c r="Q75" s="8">
        <f>STDEV(L73:L75)</f>
        <v>0.10224517980515853</v>
      </c>
    </row>
    <row r="76" spans="1:17" x14ac:dyDescent="0.2">
      <c r="A76" s="2" t="s">
        <v>74</v>
      </c>
      <c r="B76" s="2">
        <v>1</v>
      </c>
      <c r="C76" s="2">
        <v>750</v>
      </c>
      <c r="D76" s="2">
        <v>910</v>
      </c>
      <c r="E76" s="2">
        <v>1</v>
      </c>
      <c r="F76" s="2" t="s">
        <v>15</v>
      </c>
      <c r="G76" s="2" t="b">
        <v>0</v>
      </c>
      <c r="H76" s="2">
        <v>1</v>
      </c>
      <c r="I76" s="2" t="b">
        <v>1</v>
      </c>
      <c r="J76" s="2">
        <v>8601.1356210005597</v>
      </c>
      <c r="K76" s="2">
        <v>46178.8298650258</v>
      </c>
      <c r="L76" s="5">
        <v>5.3689224190670197</v>
      </c>
      <c r="M76" s="2">
        <v>5.9</v>
      </c>
      <c r="N76" s="2">
        <v>4.3600000000000003</v>
      </c>
      <c r="O76" s="2">
        <v>29.02</v>
      </c>
      <c r="P76" s="8"/>
      <c r="Q76" s="8"/>
    </row>
    <row r="77" spans="1:17" x14ac:dyDescent="0.2">
      <c r="A77" t="s">
        <v>75</v>
      </c>
      <c r="B77">
        <v>1</v>
      </c>
      <c r="C77">
        <v>750</v>
      </c>
      <c r="D77">
        <v>910</v>
      </c>
      <c r="E77">
        <v>1</v>
      </c>
      <c r="F77" t="s">
        <v>15</v>
      </c>
      <c r="G77" t="b">
        <v>0</v>
      </c>
      <c r="H77">
        <v>1</v>
      </c>
      <c r="I77" t="b">
        <v>1</v>
      </c>
      <c r="J77">
        <v>16361.1511326417</v>
      </c>
      <c r="K77">
        <v>90002.856785258104</v>
      </c>
      <c r="L77" s="3">
        <v>5.5010100484736402</v>
      </c>
      <c r="M77">
        <v>5.97</v>
      </c>
      <c r="N77">
        <v>8.2100000000000009</v>
      </c>
      <c r="O77">
        <v>56.56</v>
      </c>
      <c r="P77" s="8"/>
      <c r="Q77" s="8"/>
    </row>
    <row r="78" spans="1:17" x14ac:dyDescent="0.2">
      <c r="A78" t="s">
        <v>76</v>
      </c>
      <c r="B78">
        <v>1</v>
      </c>
      <c r="C78">
        <v>750</v>
      </c>
      <c r="D78">
        <v>910</v>
      </c>
      <c r="E78">
        <v>1</v>
      </c>
      <c r="F78" t="s">
        <v>15</v>
      </c>
      <c r="G78" t="b">
        <v>0</v>
      </c>
      <c r="H78">
        <v>1</v>
      </c>
      <c r="I78" t="b">
        <v>0</v>
      </c>
      <c r="J78">
        <v>17496.9217596778</v>
      </c>
      <c r="K78">
        <v>94605.241521044198</v>
      </c>
      <c r="L78" s="3">
        <v>5.4069648833353297</v>
      </c>
      <c r="M78">
        <v>5.91</v>
      </c>
      <c r="N78">
        <v>8.61</v>
      </c>
      <c r="O78">
        <v>60.18</v>
      </c>
      <c r="P78" s="8"/>
      <c r="Q78" s="8"/>
    </row>
    <row r="79" spans="1:17" x14ac:dyDescent="0.2">
      <c r="A79" s="1" t="s">
        <v>77</v>
      </c>
      <c r="B79" s="1">
        <v>1</v>
      </c>
      <c r="C79" s="1">
        <v>750</v>
      </c>
      <c r="D79" s="1">
        <v>910</v>
      </c>
      <c r="E79" s="1">
        <v>1</v>
      </c>
      <c r="F79" s="1" t="s">
        <v>15</v>
      </c>
      <c r="G79" s="1" t="b">
        <v>0</v>
      </c>
      <c r="H79" s="1">
        <v>1</v>
      </c>
      <c r="I79" s="1" t="b">
        <v>0</v>
      </c>
      <c r="J79" s="1">
        <v>16469.106236874799</v>
      </c>
      <c r="K79" s="1">
        <v>90539.168799724997</v>
      </c>
      <c r="L79" s="4">
        <v>5.4975156209148199</v>
      </c>
      <c r="M79" s="1">
        <v>6.03</v>
      </c>
      <c r="N79" s="1">
        <v>8.18</v>
      </c>
      <c r="O79" s="1">
        <v>55.84</v>
      </c>
      <c r="P79" s="8">
        <f>AVERAGE(L76:L79)</f>
        <v>5.4436032429477024</v>
      </c>
      <c r="Q79" s="8">
        <f>STDEV(L76:L79)</f>
        <v>6.6135418320657974E-2</v>
      </c>
    </row>
    <row r="80" spans="1:17" x14ac:dyDescent="0.2">
      <c r="A80" s="2" t="s">
        <v>78</v>
      </c>
      <c r="B80" s="2">
        <v>1</v>
      </c>
      <c r="C80" s="2">
        <v>750</v>
      </c>
      <c r="D80" s="2">
        <v>910</v>
      </c>
      <c r="E80" s="2">
        <v>1</v>
      </c>
      <c r="F80" s="2" t="s">
        <v>15</v>
      </c>
      <c r="G80" s="2" t="b">
        <v>0</v>
      </c>
      <c r="H80" s="2">
        <v>1</v>
      </c>
      <c r="I80" s="2" t="b">
        <v>0</v>
      </c>
      <c r="J80" s="2">
        <v>9012.7215070848997</v>
      </c>
      <c r="K80" s="2">
        <v>53908.494184846102</v>
      </c>
      <c r="L80" s="5">
        <v>5.9813780046868903</v>
      </c>
      <c r="M80" s="2">
        <v>3.89</v>
      </c>
      <c r="N80" s="2">
        <v>6.29</v>
      </c>
      <c r="O80" s="2">
        <v>52.24</v>
      </c>
      <c r="P80" s="8"/>
      <c r="Q80" s="8"/>
    </row>
    <row r="81" spans="1:17" x14ac:dyDescent="0.2">
      <c r="A81" t="s">
        <v>79</v>
      </c>
      <c r="B81">
        <v>1</v>
      </c>
      <c r="C81">
        <v>750</v>
      </c>
      <c r="D81">
        <v>910</v>
      </c>
      <c r="E81">
        <v>1</v>
      </c>
      <c r="F81" t="s">
        <v>15</v>
      </c>
      <c r="G81" t="b">
        <v>0</v>
      </c>
      <c r="H81">
        <v>1</v>
      </c>
      <c r="I81" t="b">
        <v>0</v>
      </c>
      <c r="J81">
        <v>15470.8766483157</v>
      </c>
      <c r="K81">
        <v>86430.2725480347</v>
      </c>
      <c r="L81" s="3">
        <v>5.5866435052627601</v>
      </c>
      <c r="M81">
        <v>4.5999999999999996</v>
      </c>
      <c r="N81">
        <v>9.59</v>
      </c>
      <c r="O81">
        <v>71.959999999999994</v>
      </c>
      <c r="P81" s="8"/>
      <c r="Q81" s="8"/>
    </row>
    <row r="82" spans="1:17" x14ac:dyDescent="0.2">
      <c r="A82" t="s">
        <v>80</v>
      </c>
      <c r="B82">
        <v>1</v>
      </c>
      <c r="C82">
        <v>750</v>
      </c>
      <c r="D82">
        <v>910</v>
      </c>
      <c r="E82">
        <v>1</v>
      </c>
      <c r="F82" t="s">
        <v>15</v>
      </c>
      <c r="G82" t="b">
        <v>0</v>
      </c>
      <c r="H82">
        <v>1</v>
      </c>
      <c r="I82" t="b">
        <v>1</v>
      </c>
      <c r="J82">
        <v>16195.076757159301</v>
      </c>
      <c r="K82">
        <v>90990.073354732202</v>
      </c>
      <c r="L82" s="3">
        <v>5.6183786417997696</v>
      </c>
      <c r="M82">
        <v>4.1399999999999997</v>
      </c>
      <c r="N82">
        <v>10.94</v>
      </c>
      <c r="O82">
        <v>83.35</v>
      </c>
      <c r="P82" s="8"/>
      <c r="Q82" s="8"/>
    </row>
    <row r="83" spans="1:17" x14ac:dyDescent="0.2">
      <c r="A83" s="1" t="s">
        <v>81</v>
      </c>
      <c r="B83" s="1">
        <v>1</v>
      </c>
      <c r="C83" s="1">
        <v>750</v>
      </c>
      <c r="D83" s="1">
        <v>910</v>
      </c>
      <c r="E83" s="1">
        <v>1</v>
      </c>
      <c r="F83" s="1" t="s">
        <v>15</v>
      </c>
      <c r="G83" s="1" t="b">
        <v>0</v>
      </c>
      <c r="H83" s="1">
        <v>1</v>
      </c>
      <c r="I83" s="1" t="b">
        <v>0</v>
      </c>
      <c r="J83" s="1">
        <v>14819.586341352</v>
      </c>
      <c r="K83" s="1">
        <v>80166.463655534797</v>
      </c>
      <c r="L83" s="4">
        <v>5.4094940175111903</v>
      </c>
      <c r="M83" s="1">
        <v>3.93</v>
      </c>
      <c r="N83" s="1">
        <v>10.61</v>
      </c>
      <c r="O83" s="1">
        <v>79.94</v>
      </c>
      <c r="P83" s="8">
        <f>AVERAGE(L80:L83)</f>
        <v>5.6489735423151526</v>
      </c>
      <c r="Q83" s="8">
        <f>STDEV(L80:L83)</f>
        <v>0.23990571124330934</v>
      </c>
    </row>
    <row r="84" spans="1:17" x14ac:dyDescent="0.2">
      <c r="A84" s="2" t="s">
        <v>82</v>
      </c>
      <c r="B84" s="2">
        <v>1</v>
      </c>
      <c r="C84" s="2">
        <v>750</v>
      </c>
      <c r="D84" s="2">
        <v>910</v>
      </c>
      <c r="E84" s="2">
        <v>1</v>
      </c>
      <c r="F84" s="2" t="s">
        <v>15</v>
      </c>
      <c r="G84" s="2" t="b">
        <v>0</v>
      </c>
      <c r="H84" s="2">
        <v>1</v>
      </c>
      <c r="I84" s="2" t="b">
        <v>0</v>
      </c>
      <c r="J84" s="2">
        <v>19759.7609090285</v>
      </c>
      <c r="K84" s="2">
        <v>608155.45744457596</v>
      </c>
      <c r="L84" s="5">
        <v>30.7774704483747</v>
      </c>
      <c r="M84" s="2">
        <v>13.9</v>
      </c>
      <c r="N84" s="2">
        <v>4.91</v>
      </c>
      <c r="O84" s="2">
        <v>48.49</v>
      </c>
      <c r="P84" s="8"/>
      <c r="Q84" s="8"/>
    </row>
    <row r="85" spans="1:17" x14ac:dyDescent="0.2">
      <c r="A85" t="s">
        <v>83</v>
      </c>
      <c r="B85">
        <v>1</v>
      </c>
      <c r="C85">
        <v>750</v>
      </c>
      <c r="D85">
        <v>910</v>
      </c>
      <c r="E85">
        <v>1</v>
      </c>
      <c r="F85" t="s">
        <v>15</v>
      </c>
      <c r="G85" t="b">
        <v>0</v>
      </c>
      <c r="H85">
        <v>1</v>
      </c>
      <c r="I85" t="b">
        <v>0</v>
      </c>
      <c r="J85">
        <v>18815.657758776098</v>
      </c>
      <c r="K85">
        <v>274678.62293427601</v>
      </c>
      <c r="L85" s="3">
        <v>14.598406627913899</v>
      </c>
      <c r="M85">
        <v>18.260000000000002</v>
      </c>
      <c r="N85">
        <v>3.37</v>
      </c>
      <c r="O85">
        <v>26.75</v>
      </c>
      <c r="P85" s="8"/>
      <c r="Q85" s="8"/>
    </row>
    <row r="86" spans="1:17" x14ac:dyDescent="0.2">
      <c r="A86" s="1" t="s">
        <v>73</v>
      </c>
      <c r="B86" s="1">
        <v>1</v>
      </c>
      <c r="C86" s="1">
        <v>750</v>
      </c>
      <c r="D86" s="1">
        <v>910</v>
      </c>
      <c r="E86" s="1">
        <v>1</v>
      </c>
      <c r="F86" s="1" t="s">
        <v>15</v>
      </c>
      <c r="G86" s="1" t="b">
        <v>0</v>
      </c>
      <c r="H86" s="1">
        <v>1</v>
      </c>
      <c r="I86" s="1" t="b">
        <v>0</v>
      </c>
      <c r="J86" s="1">
        <v>39451.998681661396</v>
      </c>
      <c r="K86" s="1">
        <v>129808.795741222</v>
      </c>
      <c r="L86" s="4">
        <v>3.2902970718581499</v>
      </c>
      <c r="M86" s="1">
        <v>16.37</v>
      </c>
      <c r="N86" s="1">
        <v>6.48</v>
      </c>
      <c r="O86" s="1">
        <v>20.6</v>
      </c>
      <c r="P86" s="8"/>
      <c r="Q86" s="8"/>
    </row>
    <row r="87" spans="1:17" x14ac:dyDescent="0.2">
      <c r="P87" s="8"/>
      <c r="Q87" s="8"/>
    </row>
    <row r="88" spans="1:17" x14ac:dyDescent="0.2">
      <c r="A88" s="2" t="s">
        <v>100</v>
      </c>
      <c r="B88" s="2">
        <v>1</v>
      </c>
      <c r="C88" s="2">
        <v>750</v>
      </c>
      <c r="D88" s="2">
        <v>910</v>
      </c>
      <c r="E88" s="2">
        <v>1</v>
      </c>
      <c r="F88" s="2" t="s">
        <v>15</v>
      </c>
      <c r="G88" s="2" t="b">
        <v>0</v>
      </c>
      <c r="H88" s="2">
        <v>1</v>
      </c>
      <c r="I88" s="2" t="b">
        <v>0</v>
      </c>
      <c r="J88" s="2">
        <v>122366.78694700899</v>
      </c>
      <c r="K88" s="2">
        <v>669383.60263248999</v>
      </c>
      <c r="L88" s="5">
        <v>5.4703046417519001</v>
      </c>
      <c r="M88" s="2">
        <v>8.1999999999999993</v>
      </c>
      <c r="N88" s="2">
        <v>58.68</v>
      </c>
      <c r="O88" s="2">
        <v>348.78</v>
      </c>
      <c r="P88" s="8"/>
      <c r="Q88" s="8"/>
    </row>
    <row r="89" spans="1:17" x14ac:dyDescent="0.2">
      <c r="A89" t="s">
        <v>119</v>
      </c>
      <c r="B89">
        <v>1</v>
      </c>
      <c r="C89">
        <v>750</v>
      </c>
      <c r="D89">
        <v>910</v>
      </c>
      <c r="E89">
        <v>1</v>
      </c>
      <c r="F89" t="s">
        <v>15</v>
      </c>
      <c r="G89" t="b">
        <v>0</v>
      </c>
      <c r="H89">
        <v>1</v>
      </c>
      <c r="I89" t="b">
        <v>1</v>
      </c>
      <c r="J89">
        <v>37016.677892158499</v>
      </c>
      <c r="K89">
        <v>234184.645993335</v>
      </c>
      <c r="L89" s="3">
        <v>6.3264630790366896</v>
      </c>
      <c r="M89">
        <v>6.43</v>
      </c>
      <c r="N89">
        <v>22.75</v>
      </c>
      <c r="O89">
        <v>156.97</v>
      </c>
      <c r="P89" s="8"/>
      <c r="Q89" s="8"/>
    </row>
    <row r="90" spans="1:17" x14ac:dyDescent="0.2">
      <c r="A90" t="s">
        <v>120</v>
      </c>
      <c r="B90">
        <v>1</v>
      </c>
      <c r="C90">
        <v>750</v>
      </c>
      <c r="D90">
        <v>910</v>
      </c>
      <c r="E90">
        <v>1</v>
      </c>
      <c r="F90" t="s">
        <v>15</v>
      </c>
      <c r="G90" t="b">
        <v>0</v>
      </c>
      <c r="H90">
        <v>1</v>
      </c>
      <c r="I90" t="b">
        <v>1</v>
      </c>
      <c r="J90">
        <v>39690.423035018997</v>
      </c>
      <c r="K90">
        <v>236366.92096801801</v>
      </c>
      <c r="L90" s="3">
        <v>5.9552633329070401</v>
      </c>
      <c r="M90">
        <v>5.33</v>
      </c>
      <c r="N90">
        <v>28.68</v>
      </c>
      <c r="O90">
        <v>188.6</v>
      </c>
      <c r="P90" s="8"/>
      <c r="Q90" s="8"/>
    </row>
    <row r="91" spans="1:17" x14ac:dyDescent="0.2">
      <c r="A91" s="1" t="s">
        <v>121</v>
      </c>
      <c r="B91" s="1">
        <v>1</v>
      </c>
      <c r="C91" s="1">
        <v>750</v>
      </c>
      <c r="D91" s="1">
        <v>910</v>
      </c>
      <c r="E91" s="1">
        <v>1</v>
      </c>
      <c r="F91" s="1" t="s">
        <v>15</v>
      </c>
      <c r="G91" s="1" t="b">
        <v>0</v>
      </c>
      <c r="H91" s="1">
        <v>1</v>
      </c>
      <c r="I91" s="1" t="b">
        <v>0</v>
      </c>
      <c r="J91" s="1">
        <v>44741.124503394203</v>
      </c>
      <c r="K91" s="1">
        <v>287412.66308035998</v>
      </c>
      <c r="L91" s="4">
        <v>6.42390342823313</v>
      </c>
      <c r="M91" s="1">
        <v>5.73</v>
      </c>
      <c r="N91" s="1">
        <v>30.25</v>
      </c>
      <c r="O91" s="1">
        <v>217.64</v>
      </c>
      <c r="P91" s="8">
        <f>AVERAGE(L89:L91)</f>
        <v>6.2352099467256208</v>
      </c>
      <c r="Q91" s="8">
        <f>_xlfn.STDEV.P(L88:L91)</f>
        <v>0.37453723609649286</v>
      </c>
    </row>
    <row r="92" spans="1:17" x14ac:dyDescent="0.2">
      <c r="P92" s="8"/>
      <c r="Q92" s="8"/>
    </row>
    <row r="93" spans="1:17" x14ac:dyDescent="0.2">
      <c r="A93" s="2" t="s">
        <v>101</v>
      </c>
      <c r="B93" s="2">
        <v>1</v>
      </c>
      <c r="C93" s="2">
        <v>750</v>
      </c>
      <c r="D93" s="2">
        <v>910</v>
      </c>
      <c r="E93" s="2">
        <v>1</v>
      </c>
      <c r="F93" s="2" t="s">
        <v>15</v>
      </c>
      <c r="G93" s="2" t="b">
        <v>0</v>
      </c>
      <c r="H93" s="2">
        <v>1</v>
      </c>
      <c r="I93" s="2" t="b">
        <v>1</v>
      </c>
      <c r="J93" s="2">
        <v>6881.6264130368099</v>
      </c>
      <c r="K93" s="2">
        <v>70721.872032186599</v>
      </c>
      <c r="L93" s="5">
        <v>10.276912431370601</v>
      </c>
      <c r="M93" s="2">
        <v>3.99</v>
      </c>
      <c r="N93" s="2">
        <v>5.47</v>
      </c>
      <c r="O93" s="2">
        <v>72.63</v>
      </c>
      <c r="P93" s="8"/>
      <c r="Q93" s="8"/>
    </row>
    <row r="94" spans="1:17" x14ac:dyDescent="0.2">
      <c r="A94" t="s">
        <v>102</v>
      </c>
      <c r="B94">
        <v>1</v>
      </c>
      <c r="C94">
        <v>750</v>
      </c>
      <c r="D94">
        <v>910</v>
      </c>
      <c r="E94">
        <v>1</v>
      </c>
      <c r="F94" t="s">
        <v>15</v>
      </c>
      <c r="G94" t="b">
        <v>0</v>
      </c>
      <c r="H94">
        <v>1</v>
      </c>
      <c r="I94" t="b">
        <v>0</v>
      </c>
      <c r="J94">
        <v>9838.1526730549394</v>
      </c>
      <c r="K94">
        <v>109243.736309899</v>
      </c>
      <c r="L94" s="3">
        <v>11.1040903653691</v>
      </c>
      <c r="M94">
        <v>2.35</v>
      </c>
      <c r="N94">
        <v>13.4</v>
      </c>
      <c r="O94">
        <v>183.09</v>
      </c>
      <c r="P94" s="8"/>
      <c r="Q94" s="8"/>
    </row>
    <row r="95" spans="1:17" x14ac:dyDescent="0.2">
      <c r="A95" t="s">
        <v>103</v>
      </c>
      <c r="B95">
        <v>1</v>
      </c>
      <c r="C95">
        <v>750</v>
      </c>
      <c r="D95">
        <v>910</v>
      </c>
      <c r="E95">
        <v>1</v>
      </c>
      <c r="F95" t="s">
        <v>15</v>
      </c>
      <c r="G95" t="b">
        <v>0</v>
      </c>
      <c r="H95">
        <v>1</v>
      </c>
      <c r="I95" t="b">
        <v>0</v>
      </c>
      <c r="J95">
        <v>7919.0466927833104</v>
      </c>
      <c r="K95">
        <v>88866.092479204905</v>
      </c>
      <c r="L95" s="3">
        <v>11.221816959380799</v>
      </c>
      <c r="M95">
        <v>3.7</v>
      </c>
      <c r="N95">
        <v>7.04</v>
      </c>
      <c r="O95">
        <v>96.11</v>
      </c>
      <c r="P95" s="8"/>
      <c r="Q95" s="8"/>
    </row>
    <row r="96" spans="1:17" x14ac:dyDescent="0.2">
      <c r="A96" s="1" t="s">
        <v>104</v>
      </c>
      <c r="B96" s="1">
        <v>1</v>
      </c>
      <c r="C96" s="1">
        <v>750</v>
      </c>
      <c r="D96" s="1">
        <v>910</v>
      </c>
      <c r="E96" s="1">
        <v>1</v>
      </c>
      <c r="F96" s="1" t="s">
        <v>15</v>
      </c>
      <c r="G96" s="1" t="b">
        <v>0</v>
      </c>
      <c r="H96" s="1">
        <v>1</v>
      </c>
      <c r="I96" s="1" t="b">
        <v>0</v>
      </c>
      <c r="J96" s="1">
        <v>7900.1703502978598</v>
      </c>
      <c r="K96" s="1">
        <v>88866.092470919</v>
      </c>
      <c r="L96" s="4">
        <v>11.2486299067675</v>
      </c>
      <c r="M96" s="1">
        <v>3.7</v>
      </c>
      <c r="N96" s="1">
        <v>7.04</v>
      </c>
      <c r="O96" s="1">
        <v>96.11</v>
      </c>
      <c r="P96" s="8">
        <f>AVERAGE(L93:L96)</f>
        <v>10.962862415721998</v>
      </c>
      <c r="Q96" s="8">
        <f>_xlfn.STDEV.P(L93:L96)</f>
        <v>0.39974780468852644</v>
      </c>
    </row>
    <row r="97" spans="1:17" x14ac:dyDescent="0.2">
      <c r="A97" t="s">
        <v>105</v>
      </c>
      <c r="B97">
        <v>1</v>
      </c>
      <c r="C97">
        <v>750</v>
      </c>
      <c r="D97">
        <v>910</v>
      </c>
      <c r="E97">
        <v>1</v>
      </c>
      <c r="F97" t="s">
        <v>15</v>
      </c>
      <c r="G97" t="b">
        <v>0</v>
      </c>
      <c r="H97">
        <v>1</v>
      </c>
      <c r="I97" t="b">
        <v>0</v>
      </c>
      <c r="J97">
        <v>5462.4689860165099</v>
      </c>
      <c r="K97">
        <v>71013.399945716897</v>
      </c>
      <c r="L97" s="3">
        <v>13.000238560164901</v>
      </c>
      <c r="M97">
        <v>2.29</v>
      </c>
      <c r="N97">
        <v>7.67</v>
      </c>
      <c r="O97">
        <v>122.36</v>
      </c>
      <c r="P97" s="8"/>
      <c r="Q97" s="8"/>
    </row>
    <row r="98" spans="1:17" x14ac:dyDescent="0.2">
      <c r="A98" t="s">
        <v>106</v>
      </c>
      <c r="B98">
        <v>1</v>
      </c>
      <c r="C98">
        <v>750</v>
      </c>
      <c r="D98">
        <v>910</v>
      </c>
      <c r="E98">
        <v>1</v>
      </c>
      <c r="F98" t="s">
        <v>15</v>
      </c>
      <c r="G98" t="b">
        <v>0</v>
      </c>
      <c r="H98">
        <v>1</v>
      </c>
      <c r="I98" t="b">
        <v>0</v>
      </c>
      <c r="J98">
        <v>10503.527151912</v>
      </c>
      <c r="K98">
        <v>167229.05997862</v>
      </c>
      <c r="L98" s="3">
        <v>15.921228893874799</v>
      </c>
      <c r="M98">
        <v>2.87</v>
      </c>
      <c r="N98">
        <v>11.61</v>
      </c>
      <c r="O98">
        <v>234.05</v>
      </c>
      <c r="P98" s="8"/>
      <c r="Q98" s="8"/>
    </row>
    <row r="99" spans="1:17" x14ac:dyDescent="0.2">
      <c r="A99" s="1" t="s">
        <v>107</v>
      </c>
      <c r="B99" s="1">
        <v>1</v>
      </c>
      <c r="C99" s="1">
        <v>750</v>
      </c>
      <c r="D99" s="1">
        <v>910</v>
      </c>
      <c r="E99" s="1">
        <v>1</v>
      </c>
      <c r="F99" s="1" t="s">
        <v>15</v>
      </c>
      <c r="G99" s="1" t="b">
        <v>0</v>
      </c>
      <c r="H99" s="1">
        <v>1</v>
      </c>
      <c r="I99" s="1" t="b">
        <v>0</v>
      </c>
      <c r="J99" s="1">
        <v>5406.60691538629</v>
      </c>
      <c r="K99" s="1">
        <v>71013.399954425404</v>
      </c>
      <c r="L99" s="4">
        <v>13.1345594502779</v>
      </c>
      <c r="M99" s="1">
        <v>2.29</v>
      </c>
      <c r="N99" s="1">
        <v>7.6</v>
      </c>
      <c r="O99" s="1">
        <v>122.36</v>
      </c>
      <c r="P99" s="8">
        <f>AVERAGE(L97:L99)</f>
        <v>14.018675634772533</v>
      </c>
      <c r="Q99" s="8">
        <f>_xlfn.STDEV.P(L97:L99)</f>
        <v>1.3464254412259342</v>
      </c>
    </row>
    <row r="100" spans="1:17" x14ac:dyDescent="0.2">
      <c r="P100" s="8"/>
      <c r="Q100" s="8"/>
    </row>
    <row r="101" spans="1:17" x14ac:dyDescent="0.2">
      <c r="A101" t="s">
        <v>122</v>
      </c>
      <c r="B101">
        <v>1</v>
      </c>
      <c r="C101">
        <v>750</v>
      </c>
      <c r="D101">
        <v>910</v>
      </c>
      <c r="E101">
        <v>1</v>
      </c>
      <c r="F101" t="s">
        <v>15</v>
      </c>
      <c r="G101" t="b">
        <v>0</v>
      </c>
      <c r="H101">
        <v>1</v>
      </c>
      <c r="I101" t="b">
        <v>1</v>
      </c>
      <c r="J101">
        <v>14005.413336246</v>
      </c>
      <c r="K101">
        <v>6279.7638370907698</v>
      </c>
      <c r="L101" s="3">
        <v>0.44838118564046198</v>
      </c>
      <c r="M101">
        <v>4.6500000000000004</v>
      </c>
      <c r="N101">
        <v>7.69</v>
      </c>
      <c r="O101">
        <v>9.02</v>
      </c>
      <c r="P101" s="8"/>
      <c r="Q101" s="8"/>
    </row>
    <row r="102" spans="1:17" x14ac:dyDescent="0.2">
      <c r="A102" t="s">
        <v>123</v>
      </c>
      <c r="B102">
        <v>1</v>
      </c>
      <c r="C102">
        <v>750</v>
      </c>
      <c r="D102">
        <v>910</v>
      </c>
      <c r="E102">
        <v>1</v>
      </c>
      <c r="F102" t="s">
        <v>15</v>
      </c>
      <c r="G102" t="b">
        <v>0</v>
      </c>
      <c r="H102">
        <v>1</v>
      </c>
      <c r="I102" t="b">
        <v>1</v>
      </c>
      <c r="J102">
        <v>21066.290286013998</v>
      </c>
      <c r="K102">
        <v>12305.5863644499</v>
      </c>
      <c r="L102" s="3">
        <v>0.584136371301197</v>
      </c>
      <c r="M102">
        <v>5.0599999999999996</v>
      </c>
      <c r="N102">
        <v>10.92</v>
      </c>
      <c r="O102">
        <v>12.99</v>
      </c>
      <c r="P102" s="8"/>
      <c r="Q102" s="8"/>
    </row>
    <row r="103" spans="1:17" x14ac:dyDescent="0.2">
      <c r="A103" t="s">
        <v>124</v>
      </c>
      <c r="B103">
        <v>1</v>
      </c>
      <c r="C103">
        <v>750</v>
      </c>
      <c r="D103">
        <v>910</v>
      </c>
      <c r="E103">
        <v>1</v>
      </c>
      <c r="F103" t="s">
        <v>15</v>
      </c>
      <c r="G103" t="b">
        <v>0</v>
      </c>
      <c r="H103">
        <v>1</v>
      </c>
      <c r="I103" t="b">
        <v>1</v>
      </c>
      <c r="J103">
        <v>28878.344670785202</v>
      </c>
      <c r="K103">
        <v>19937.286836778399</v>
      </c>
      <c r="L103" s="3">
        <v>0.690388838559294</v>
      </c>
      <c r="M103">
        <v>6.49</v>
      </c>
      <c r="N103">
        <v>11.51</v>
      </c>
      <c r="O103">
        <v>15.78</v>
      </c>
      <c r="P103" s="8"/>
      <c r="Q103" s="8"/>
    </row>
    <row r="104" spans="1:17" x14ac:dyDescent="0.2">
      <c r="A104" s="1" t="s">
        <v>125</v>
      </c>
      <c r="B104" s="1">
        <v>1</v>
      </c>
      <c r="C104" s="1">
        <v>750</v>
      </c>
      <c r="D104" s="1">
        <v>910</v>
      </c>
      <c r="E104" s="1">
        <v>1</v>
      </c>
      <c r="F104" s="1" t="s">
        <v>15</v>
      </c>
      <c r="G104" s="1" t="b">
        <v>0</v>
      </c>
      <c r="H104" s="1">
        <v>1</v>
      </c>
      <c r="I104" s="1" t="b">
        <v>1</v>
      </c>
      <c r="J104" s="1">
        <v>21253.132247194899</v>
      </c>
      <c r="K104" s="1">
        <v>15218.3920461655</v>
      </c>
      <c r="L104" s="4">
        <v>0.716054079425123</v>
      </c>
      <c r="M104" s="1">
        <v>6.84</v>
      </c>
      <c r="N104" s="1">
        <v>7.92</v>
      </c>
      <c r="O104" s="1">
        <v>12.11</v>
      </c>
      <c r="P104" s="8">
        <f>AVERAGE(L101:L104)</f>
        <v>0.60974011873151901</v>
      </c>
      <c r="Q104" s="8">
        <f>STDEV(L101:L104)</f>
        <v>0.12179098409293958</v>
      </c>
    </row>
    <row r="105" spans="1:17" x14ac:dyDescent="0.2">
      <c r="A105" t="s">
        <v>126</v>
      </c>
      <c r="B105">
        <v>1</v>
      </c>
      <c r="C105">
        <v>750</v>
      </c>
      <c r="D105">
        <v>910</v>
      </c>
      <c r="E105">
        <v>1</v>
      </c>
      <c r="F105" t="s">
        <v>15</v>
      </c>
      <c r="G105" t="b">
        <v>0</v>
      </c>
      <c r="H105">
        <v>1</v>
      </c>
      <c r="I105" t="b">
        <v>0</v>
      </c>
      <c r="J105">
        <v>199228.21954495399</v>
      </c>
      <c r="K105">
        <v>72070.162180453903</v>
      </c>
      <c r="M105">
        <v>42.36</v>
      </c>
      <c r="N105">
        <v>11.35</v>
      </c>
      <c r="O105">
        <v>8.31</v>
      </c>
      <c r="P105" s="8"/>
      <c r="Q105" s="8"/>
    </row>
    <row r="106" spans="1:17" x14ac:dyDescent="0.2">
      <c r="A106" t="s">
        <v>127</v>
      </c>
      <c r="B106">
        <v>1</v>
      </c>
      <c r="C106">
        <v>750</v>
      </c>
      <c r="D106">
        <v>910</v>
      </c>
      <c r="E106">
        <v>1</v>
      </c>
      <c r="F106" t="s">
        <v>15</v>
      </c>
      <c r="G106" t="b">
        <v>0</v>
      </c>
      <c r="H106">
        <v>1</v>
      </c>
      <c r="I106" t="b">
        <v>0</v>
      </c>
      <c r="J106">
        <v>15554.005275728799</v>
      </c>
      <c r="K106">
        <v>-6626.36554551475</v>
      </c>
      <c r="M106">
        <v>9.2899999999999991</v>
      </c>
      <c r="N106">
        <v>4.05</v>
      </c>
      <c r="O106">
        <v>2.17</v>
      </c>
      <c r="P106" s="8"/>
      <c r="Q106" s="8"/>
    </row>
    <row r="107" spans="1:17" x14ac:dyDescent="0.2">
      <c r="A107" t="s">
        <v>128</v>
      </c>
      <c r="B107">
        <v>1</v>
      </c>
      <c r="C107">
        <v>750</v>
      </c>
      <c r="D107">
        <v>910</v>
      </c>
      <c r="E107">
        <v>1</v>
      </c>
      <c r="F107" t="s">
        <v>15</v>
      </c>
      <c r="G107" t="b">
        <v>0</v>
      </c>
      <c r="H107">
        <v>1</v>
      </c>
      <c r="I107" t="b">
        <v>0</v>
      </c>
      <c r="J107">
        <v>23246.3477856973</v>
      </c>
      <c r="K107">
        <v>-3993.72221700412</v>
      </c>
      <c r="M107">
        <v>13.15</v>
      </c>
      <c r="N107">
        <v>4.34</v>
      </c>
      <c r="O107">
        <v>1.48</v>
      </c>
      <c r="P107" s="8"/>
      <c r="Q107" s="8"/>
    </row>
    <row r="108" spans="1:17" x14ac:dyDescent="0.2">
      <c r="A108" s="1" t="s">
        <v>129</v>
      </c>
      <c r="B108" s="1">
        <v>1</v>
      </c>
      <c r="C108" s="1">
        <v>750</v>
      </c>
      <c r="D108" s="1">
        <v>910</v>
      </c>
      <c r="E108" s="1">
        <v>1</v>
      </c>
      <c r="F108" s="1" t="s">
        <v>15</v>
      </c>
      <c r="G108" s="1" t="b">
        <v>0</v>
      </c>
      <c r="H108" s="1">
        <v>1</v>
      </c>
      <c r="I108" s="1" t="b">
        <v>0</v>
      </c>
      <c r="J108" s="1">
        <v>201321.10805823701</v>
      </c>
      <c r="K108" s="1">
        <v>17727.216025397898</v>
      </c>
      <c r="L108" s="4">
        <v>8.8054433021846207E-2</v>
      </c>
      <c r="M108" s="1">
        <v>38.31</v>
      </c>
      <c r="N108" s="1">
        <v>13.25</v>
      </c>
      <c r="O108" s="1">
        <v>5.0199999999999996</v>
      </c>
      <c r="P108" s="8">
        <f>AVERAGE(L105:L108)</f>
        <v>8.8054433021846207E-2</v>
      </c>
      <c r="Q108" s="8">
        <f>_xlfn.STDEV.P(L105:L108)</f>
        <v>0</v>
      </c>
    </row>
    <row r="109" spans="1:17" x14ac:dyDescent="0.2">
      <c r="A109" t="s">
        <v>130</v>
      </c>
      <c r="B109">
        <v>1</v>
      </c>
      <c r="C109">
        <v>750</v>
      </c>
      <c r="D109">
        <v>910</v>
      </c>
      <c r="E109">
        <v>1</v>
      </c>
      <c r="F109" t="s">
        <v>15</v>
      </c>
      <c r="G109" t="b">
        <v>0</v>
      </c>
      <c r="H109">
        <v>1</v>
      </c>
      <c r="I109" t="b">
        <v>0</v>
      </c>
      <c r="J109">
        <v>206483.66742848899</v>
      </c>
      <c r="K109">
        <v>350316.039421856</v>
      </c>
      <c r="L109" s="3">
        <v>1.69657989798723</v>
      </c>
      <c r="M109">
        <v>45.85</v>
      </c>
      <c r="N109">
        <v>11.52</v>
      </c>
      <c r="O109">
        <v>32.99</v>
      </c>
      <c r="P109" s="8"/>
      <c r="Q109" s="8"/>
    </row>
    <row r="110" spans="1:17" x14ac:dyDescent="0.2">
      <c r="A110" t="s">
        <v>131</v>
      </c>
      <c r="B110">
        <v>1</v>
      </c>
      <c r="C110">
        <v>750</v>
      </c>
      <c r="D110">
        <v>910</v>
      </c>
      <c r="E110">
        <v>1</v>
      </c>
      <c r="F110" t="s">
        <v>15</v>
      </c>
      <c r="G110" t="b">
        <v>0</v>
      </c>
      <c r="H110">
        <v>1</v>
      </c>
      <c r="I110" t="b">
        <v>0</v>
      </c>
      <c r="J110">
        <v>113757.365615816</v>
      </c>
      <c r="K110">
        <v>196898.661496204</v>
      </c>
      <c r="L110" s="3">
        <v>1.7308651657878</v>
      </c>
      <c r="M110">
        <v>24.27</v>
      </c>
      <c r="N110">
        <v>12.06</v>
      </c>
      <c r="O110">
        <v>33.53</v>
      </c>
      <c r="P110" s="8"/>
      <c r="Q110" s="8"/>
    </row>
    <row r="111" spans="1:17" x14ac:dyDescent="0.2">
      <c r="A111" s="1" t="s">
        <v>132</v>
      </c>
      <c r="B111" s="1">
        <v>1</v>
      </c>
      <c r="C111" s="1">
        <v>750</v>
      </c>
      <c r="D111" s="1">
        <v>910</v>
      </c>
      <c r="E111" s="1">
        <v>1</v>
      </c>
      <c r="F111" s="1" t="s">
        <v>15</v>
      </c>
      <c r="G111" s="1" t="b">
        <v>0</v>
      </c>
      <c r="H111" s="1">
        <v>1</v>
      </c>
      <c r="I111" s="1" t="b">
        <v>0</v>
      </c>
      <c r="J111" s="1">
        <v>103528.64822677099</v>
      </c>
      <c r="K111" s="1">
        <v>181800.877337279</v>
      </c>
      <c r="L111" s="4">
        <v>1.75604415252344</v>
      </c>
      <c r="M111" s="1">
        <v>15.95</v>
      </c>
      <c r="N111" s="1">
        <v>16.760000000000002</v>
      </c>
      <c r="O111" s="1">
        <v>46.9</v>
      </c>
      <c r="P111" s="8">
        <f>AVERAGE(L109:L111)</f>
        <v>1.7278297387661568</v>
      </c>
      <c r="Q111" s="8">
        <f>STDEV(L109:L111)</f>
        <v>2.9848111410767465E-2</v>
      </c>
    </row>
    <row r="112" spans="1:17" x14ac:dyDescent="0.2">
      <c r="A112" t="s">
        <v>133</v>
      </c>
      <c r="B112">
        <v>1</v>
      </c>
      <c r="C112">
        <v>750</v>
      </c>
      <c r="D112">
        <v>910</v>
      </c>
      <c r="E112">
        <v>1</v>
      </c>
      <c r="F112" t="s">
        <v>15</v>
      </c>
      <c r="G112" t="b">
        <v>0</v>
      </c>
      <c r="H112">
        <v>1</v>
      </c>
      <c r="I112" t="b">
        <v>0</v>
      </c>
      <c r="J112">
        <v>156418.228289919</v>
      </c>
      <c r="K112">
        <v>251561.515203552</v>
      </c>
      <c r="L112" s="3">
        <v>1.6082621440851801</v>
      </c>
      <c r="M112">
        <v>36.9</v>
      </c>
      <c r="N112">
        <v>11.34</v>
      </c>
      <c r="O112">
        <v>28.53</v>
      </c>
      <c r="P112" s="8"/>
      <c r="Q112" s="8"/>
    </row>
    <row r="113" spans="1:17" x14ac:dyDescent="0.2">
      <c r="A113" t="s">
        <v>134</v>
      </c>
      <c r="B113">
        <v>1</v>
      </c>
      <c r="C113">
        <v>750</v>
      </c>
      <c r="D113">
        <v>910</v>
      </c>
      <c r="E113">
        <v>1</v>
      </c>
      <c r="F113" t="s">
        <v>15</v>
      </c>
      <c r="G113" t="b">
        <v>0</v>
      </c>
      <c r="H113">
        <v>1</v>
      </c>
      <c r="I113" t="b">
        <v>0</v>
      </c>
      <c r="J113">
        <v>146056.22045827899</v>
      </c>
      <c r="K113">
        <v>235471.37926036501</v>
      </c>
      <c r="L113" s="3">
        <v>1.6121968548927801</v>
      </c>
      <c r="M113">
        <v>35.36</v>
      </c>
      <c r="N113">
        <v>10.98</v>
      </c>
      <c r="O113">
        <v>27.74</v>
      </c>
      <c r="P113" s="8"/>
      <c r="Q113" s="8"/>
    </row>
    <row r="114" spans="1:17" x14ac:dyDescent="0.2">
      <c r="A114" s="1" t="s">
        <v>135</v>
      </c>
      <c r="B114" s="1">
        <v>1</v>
      </c>
      <c r="C114" s="1">
        <v>750</v>
      </c>
      <c r="D114" s="1">
        <v>910</v>
      </c>
      <c r="E114" s="1">
        <v>1</v>
      </c>
      <c r="F114" s="1" t="s">
        <v>15</v>
      </c>
      <c r="G114" s="1" t="b">
        <v>0</v>
      </c>
      <c r="H114" s="1">
        <v>1</v>
      </c>
      <c r="I114" s="1" t="b">
        <v>0</v>
      </c>
      <c r="J114" s="1">
        <v>136694.85769813301</v>
      </c>
      <c r="K114" s="1">
        <v>223279.77369835001</v>
      </c>
      <c r="L114" s="4">
        <v>1.6334175071268899</v>
      </c>
      <c r="M114" s="1">
        <v>41.85</v>
      </c>
      <c r="N114" s="1">
        <v>8.67</v>
      </c>
      <c r="O114" s="1">
        <v>22.55</v>
      </c>
      <c r="P114" s="8">
        <f>AVERAGE(L112:L114)</f>
        <v>1.6179588353682834</v>
      </c>
      <c r="Q114" s="8">
        <f>STDEV(L112:L114)</f>
        <v>1.3531385246533932E-2</v>
      </c>
    </row>
    <row r="115" spans="1:17" x14ac:dyDescent="0.2">
      <c r="A115" t="s">
        <v>136</v>
      </c>
      <c r="B115">
        <v>1</v>
      </c>
      <c r="C115">
        <v>750</v>
      </c>
      <c r="D115">
        <v>910</v>
      </c>
      <c r="E115">
        <v>1</v>
      </c>
      <c r="F115" t="s">
        <v>15</v>
      </c>
      <c r="G115" t="b">
        <v>0</v>
      </c>
      <c r="H115">
        <v>1</v>
      </c>
      <c r="I115" t="b">
        <v>0</v>
      </c>
      <c r="J115">
        <v>145245.04605576699</v>
      </c>
      <c r="K115">
        <v>451820.06288280903</v>
      </c>
      <c r="L115" s="3">
        <v>3.1107433620099498</v>
      </c>
      <c r="M115">
        <v>35.26</v>
      </c>
      <c r="N115">
        <v>11.32</v>
      </c>
      <c r="O115">
        <v>52.43</v>
      </c>
      <c r="P115" s="8"/>
      <c r="Q115" s="8"/>
    </row>
    <row r="116" spans="1:17" x14ac:dyDescent="0.2">
      <c r="A116" t="s">
        <v>137</v>
      </c>
      <c r="B116">
        <v>1</v>
      </c>
      <c r="C116">
        <v>750</v>
      </c>
      <c r="D116">
        <v>910</v>
      </c>
      <c r="E116">
        <v>1</v>
      </c>
      <c r="F116" t="s">
        <v>15</v>
      </c>
      <c r="G116" t="b">
        <v>0</v>
      </c>
      <c r="H116">
        <v>1</v>
      </c>
      <c r="I116" t="b">
        <v>0</v>
      </c>
      <c r="J116">
        <v>154300.09269689201</v>
      </c>
      <c r="K116">
        <v>488394.47849002702</v>
      </c>
      <c r="L116" s="3">
        <v>3.1652247899126702</v>
      </c>
      <c r="M116">
        <v>36.97</v>
      </c>
      <c r="N116">
        <v>11.51</v>
      </c>
      <c r="O116">
        <v>52.91</v>
      </c>
      <c r="P116" s="8"/>
      <c r="Q116" s="8"/>
    </row>
    <row r="117" spans="1:17" x14ac:dyDescent="0.2">
      <c r="A117" s="1" t="s">
        <v>138</v>
      </c>
      <c r="B117" s="1">
        <v>1</v>
      </c>
      <c r="C117" s="1">
        <v>750</v>
      </c>
      <c r="D117" s="1">
        <v>910</v>
      </c>
      <c r="E117" s="1">
        <v>1</v>
      </c>
      <c r="F117" s="1" t="s">
        <v>15</v>
      </c>
      <c r="G117" s="1" t="b">
        <v>0</v>
      </c>
      <c r="H117" s="1">
        <v>1</v>
      </c>
      <c r="I117" s="1" t="b">
        <v>0</v>
      </c>
      <c r="J117" s="1">
        <v>156949.78424584199</v>
      </c>
      <c r="K117" s="1">
        <v>482755.34652083099</v>
      </c>
      <c r="L117" s="4">
        <v>3.0758586183505399</v>
      </c>
      <c r="M117" s="1">
        <v>36.380000000000003</v>
      </c>
      <c r="N117" s="1">
        <v>11.95</v>
      </c>
      <c r="O117" s="1">
        <v>53.83</v>
      </c>
      <c r="P117" s="8">
        <f>AVERAGE(L115:L117)</f>
        <v>3.1172755900910532</v>
      </c>
      <c r="Q117" s="8">
        <f>STDEV(L115:L117)</f>
        <v>4.5039767513783815E-2</v>
      </c>
    </row>
    <row r="118" spans="1:17" x14ac:dyDescent="0.2">
      <c r="A118" t="s">
        <v>139</v>
      </c>
      <c r="B118">
        <v>1</v>
      </c>
      <c r="C118">
        <v>750</v>
      </c>
      <c r="D118">
        <v>910</v>
      </c>
      <c r="E118">
        <v>1</v>
      </c>
      <c r="F118" t="s">
        <v>15</v>
      </c>
      <c r="G118" t="b">
        <v>0</v>
      </c>
      <c r="H118">
        <v>1</v>
      </c>
      <c r="I118" t="b">
        <v>0</v>
      </c>
      <c r="J118">
        <v>138109.73694259001</v>
      </c>
      <c r="K118">
        <v>460667.76503863302</v>
      </c>
      <c r="L118" s="3">
        <v>3.3355198209531198</v>
      </c>
      <c r="M118">
        <v>34.47</v>
      </c>
      <c r="N118">
        <v>11.14</v>
      </c>
      <c r="O118">
        <v>54.23</v>
      </c>
      <c r="P118" s="8"/>
      <c r="Q118" s="8"/>
    </row>
    <row r="119" spans="1:17" x14ac:dyDescent="0.2">
      <c r="A119" t="s">
        <v>140</v>
      </c>
      <c r="B119">
        <v>1</v>
      </c>
      <c r="C119">
        <v>750</v>
      </c>
      <c r="D119">
        <v>910</v>
      </c>
      <c r="E119">
        <v>1</v>
      </c>
      <c r="F119" t="s">
        <v>15</v>
      </c>
      <c r="G119" t="b">
        <v>0</v>
      </c>
      <c r="H119">
        <v>1</v>
      </c>
      <c r="I119" t="b">
        <v>0</v>
      </c>
      <c r="J119">
        <v>152833.05617362499</v>
      </c>
      <c r="K119">
        <v>494571.33738927799</v>
      </c>
      <c r="L119" s="3">
        <v>3.2360233431923402</v>
      </c>
      <c r="M119">
        <v>36.49</v>
      </c>
      <c r="N119">
        <v>11.73</v>
      </c>
      <c r="O119">
        <v>54.94</v>
      </c>
      <c r="P119" s="8"/>
      <c r="Q119" s="8"/>
    </row>
    <row r="120" spans="1:17" x14ac:dyDescent="0.2">
      <c r="A120" s="1" t="s">
        <v>141</v>
      </c>
      <c r="B120" s="1">
        <v>1</v>
      </c>
      <c r="C120" s="1">
        <v>750</v>
      </c>
      <c r="D120" s="1">
        <v>910</v>
      </c>
      <c r="E120" s="1">
        <v>1</v>
      </c>
      <c r="F120" s="1" t="s">
        <v>15</v>
      </c>
      <c r="G120" s="1" t="b">
        <v>0</v>
      </c>
      <c r="H120" s="1">
        <v>1</v>
      </c>
      <c r="I120" s="1" t="b">
        <v>0</v>
      </c>
      <c r="J120" s="1">
        <v>144535.06646866599</v>
      </c>
      <c r="K120" s="1">
        <v>474937.53766110202</v>
      </c>
      <c r="L120" s="4">
        <v>3.2859675459039099</v>
      </c>
      <c r="M120" s="1">
        <v>36.880000000000003</v>
      </c>
      <c r="N120" s="1">
        <v>10.89</v>
      </c>
      <c r="O120" s="1">
        <v>51.47</v>
      </c>
      <c r="P120" s="8">
        <f>AVERAGE(L118:L120)</f>
        <v>3.2858369033497898</v>
      </c>
      <c r="Q120" s="8">
        <f>STDEV(L118:L120)</f>
        <v>4.9748367534101452E-2</v>
      </c>
    </row>
    <row r="121" spans="1:17" x14ac:dyDescent="0.2">
      <c r="A121" t="s">
        <v>142</v>
      </c>
      <c r="B121">
        <v>1</v>
      </c>
      <c r="C121">
        <v>750</v>
      </c>
      <c r="D121">
        <v>910</v>
      </c>
      <c r="E121">
        <v>1</v>
      </c>
      <c r="F121" t="s">
        <v>15</v>
      </c>
      <c r="G121" t="b">
        <v>0</v>
      </c>
      <c r="H121">
        <v>1</v>
      </c>
      <c r="I121" t="b">
        <v>0</v>
      </c>
      <c r="J121">
        <v>191472.92365525599</v>
      </c>
      <c r="K121">
        <v>166624.91757439799</v>
      </c>
      <c r="L121" s="3">
        <v>0.87022705034997005</v>
      </c>
      <c r="M121">
        <v>38.090000000000003</v>
      </c>
      <c r="N121">
        <v>17.68</v>
      </c>
      <c r="O121">
        <v>16.239999999999998</v>
      </c>
      <c r="P121" s="8"/>
      <c r="Q121" s="8"/>
    </row>
    <row r="122" spans="1:17" x14ac:dyDescent="0.2">
      <c r="A122" s="1" t="s">
        <v>143</v>
      </c>
      <c r="B122" s="1">
        <v>1</v>
      </c>
      <c r="C122" s="1">
        <v>750</v>
      </c>
      <c r="D122" s="1">
        <v>910</v>
      </c>
      <c r="E122" s="1">
        <v>1</v>
      </c>
      <c r="F122" s="1" t="s">
        <v>15</v>
      </c>
      <c r="G122" s="1" t="b">
        <v>0</v>
      </c>
      <c r="H122" s="1">
        <v>1</v>
      </c>
      <c r="I122" s="1" t="b">
        <v>0</v>
      </c>
      <c r="J122" s="1">
        <v>186637.069352344</v>
      </c>
      <c r="K122" s="1">
        <v>102716.961217964</v>
      </c>
      <c r="L122" s="4">
        <v>0.55035669802577902</v>
      </c>
      <c r="M122" s="1">
        <v>33.29</v>
      </c>
      <c r="N122" s="1">
        <v>19.97</v>
      </c>
      <c r="O122" s="1">
        <v>14.27</v>
      </c>
      <c r="P122" s="8">
        <f>AVERAGE(L121:L122)*L122</f>
        <v>0.39091389051258069</v>
      </c>
      <c r="Q122" s="8">
        <f>STDEV(L121:L122)</f>
        <v>0.22618249522896552</v>
      </c>
    </row>
    <row r="123" spans="1:17" x14ac:dyDescent="0.2">
      <c r="P123" s="8"/>
      <c r="Q123" s="8"/>
    </row>
    <row r="124" spans="1:17" x14ac:dyDescent="0.2">
      <c r="A124" t="s">
        <v>144</v>
      </c>
      <c r="B124">
        <v>1</v>
      </c>
      <c r="C124">
        <v>750</v>
      </c>
      <c r="D124">
        <v>910</v>
      </c>
      <c r="E124">
        <v>1</v>
      </c>
      <c r="F124" t="s">
        <v>15</v>
      </c>
      <c r="G124" t="b">
        <v>0</v>
      </c>
      <c r="H124">
        <v>1</v>
      </c>
      <c r="I124" t="b">
        <v>0</v>
      </c>
      <c r="J124">
        <v>46088.0663733283</v>
      </c>
      <c r="K124">
        <v>58658.776548208603</v>
      </c>
      <c r="L124" s="3">
        <v>1.2727541240947999</v>
      </c>
      <c r="M124">
        <v>4.62</v>
      </c>
      <c r="N124">
        <v>31.33</v>
      </c>
      <c r="O124">
        <v>52.4</v>
      </c>
      <c r="P124" s="8"/>
      <c r="Q124" s="8"/>
    </row>
    <row r="125" spans="1:17" x14ac:dyDescent="0.2">
      <c r="A125" t="s">
        <v>145</v>
      </c>
      <c r="B125">
        <v>1</v>
      </c>
      <c r="C125">
        <v>750</v>
      </c>
      <c r="D125">
        <v>910</v>
      </c>
      <c r="E125">
        <v>1</v>
      </c>
      <c r="F125" t="s">
        <v>15</v>
      </c>
      <c r="G125" t="b">
        <v>0</v>
      </c>
      <c r="H125">
        <v>1</v>
      </c>
      <c r="I125" t="b">
        <v>0</v>
      </c>
      <c r="J125">
        <v>52190.780380517303</v>
      </c>
      <c r="K125">
        <v>65208.106969769004</v>
      </c>
      <c r="L125" s="3">
        <v>1.24941812508538</v>
      </c>
      <c r="M125">
        <v>11.35</v>
      </c>
      <c r="N125">
        <v>14.29</v>
      </c>
      <c r="O125">
        <v>23.75</v>
      </c>
      <c r="P125" s="8"/>
      <c r="Q125" s="8"/>
    </row>
    <row r="126" spans="1:17" x14ac:dyDescent="0.2">
      <c r="A126" t="s">
        <v>146</v>
      </c>
      <c r="B126">
        <v>1</v>
      </c>
      <c r="C126">
        <v>750</v>
      </c>
      <c r="D126">
        <v>910</v>
      </c>
      <c r="E126">
        <v>1</v>
      </c>
      <c r="F126" t="s">
        <v>15</v>
      </c>
      <c r="G126" t="b">
        <v>0</v>
      </c>
      <c r="H126">
        <v>1</v>
      </c>
      <c r="I126" t="b">
        <v>0</v>
      </c>
      <c r="J126">
        <v>53025.281615761902</v>
      </c>
      <c r="K126">
        <v>63800.623461720403</v>
      </c>
      <c r="L126" s="3">
        <v>1.2032114025162499</v>
      </c>
      <c r="M126">
        <v>10.31</v>
      </c>
      <c r="N126">
        <v>15.77</v>
      </c>
      <c r="O126">
        <v>26.05</v>
      </c>
      <c r="P126" s="8"/>
      <c r="Q126" s="8"/>
    </row>
    <row r="127" spans="1:17" x14ac:dyDescent="0.2">
      <c r="A127" s="1" t="s">
        <v>147</v>
      </c>
      <c r="B127" s="1">
        <v>1</v>
      </c>
      <c r="C127" s="1">
        <v>750</v>
      </c>
      <c r="D127" s="1">
        <v>910</v>
      </c>
      <c r="E127" s="1">
        <v>1</v>
      </c>
      <c r="F127" s="1" t="s">
        <v>15</v>
      </c>
      <c r="G127" s="1" t="b">
        <v>0</v>
      </c>
      <c r="H127" s="1">
        <v>1</v>
      </c>
      <c r="I127" s="1" t="b">
        <v>0</v>
      </c>
      <c r="J127" s="1">
        <v>44942.903919834403</v>
      </c>
      <c r="K127" s="1">
        <v>58657.487254516403</v>
      </c>
      <c r="L127" s="4">
        <v>1.30515570064508</v>
      </c>
      <c r="M127" s="1">
        <v>12.85</v>
      </c>
      <c r="N127" s="1">
        <v>11.04</v>
      </c>
      <c r="O127" s="1">
        <v>18.84</v>
      </c>
      <c r="P127" s="8">
        <f>AVERAGE(L124:L127)</f>
        <v>1.2576348380853775</v>
      </c>
      <c r="Q127" s="8">
        <f>_xlfn.STDEV.P(L124:L127)</f>
        <v>3.7135730434192896E-2</v>
      </c>
    </row>
    <row r="128" spans="1:17" x14ac:dyDescent="0.2">
      <c r="A128" t="s">
        <v>148</v>
      </c>
      <c r="B128">
        <v>1</v>
      </c>
      <c r="C128">
        <v>750</v>
      </c>
      <c r="D128">
        <v>910</v>
      </c>
      <c r="E128">
        <v>1</v>
      </c>
      <c r="F128" t="s">
        <v>15</v>
      </c>
      <c r="G128" t="b">
        <v>0</v>
      </c>
      <c r="H128">
        <v>1</v>
      </c>
      <c r="I128" t="b">
        <v>0</v>
      </c>
      <c r="J128">
        <v>52170.587736875401</v>
      </c>
      <c r="K128">
        <v>125118.10815333801</v>
      </c>
      <c r="L128" s="3">
        <v>2.3982499255016299</v>
      </c>
      <c r="M128">
        <v>9.07</v>
      </c>
      <c r="N128">
        <v>18.850000000000001</v>
      </c>
      <c r="O128">
        <v>60.7</v>
      </c>
      <c r="P128" s="8"/>
      <c r="Q128" s="8"/>
    </row>
    <row r="129" spans="1:17" x14ac:dyDescent="0.2">
      <c r="A129" t="s">
        <v>149</v>
      </c>
      <c r="B129">
        <v>1</v>
      </c>
      <c r="C129">
        <v>750</v>
      </c>
      <c r="D129">
        <v>910</v>
      </c>
      <c r="E129">
        <v>1</v>
      </c>
      <c r="F129" t="s">
        <v>15</v>
      </c>
      <c r="G129" t="b">
        <v>0</v>
      </c>
      <c r="H129">
        <v>1</v>
      </c>
      <c r="I129" t="b">
        <v>0</v>
      </c>
      <c r="J129">
        <v>59639.7694601435</v>
      </c>
      <c r="K129">
        <v>139312.01989616899</v>
      </c>
      <c r="L129" s="3">
        <v>2.3358913214657901</v>
      </c>
      <c r="M129">
        <v>5.8</v>
      </c>
      <c r="N129">
        <v>33.32</v>
      </c>
      <c r="O129">
        <v>105.38</v>
      </c>
      <c r="P129" s="8"/>
      <c r="Q129" s="8"/>
    </row>
    <row r="130" spans="1:17" x14ac:dyDescent="0.2">
      <c r="A130" s="1" t="s">
        <v>150</v>
      </c>
      <c r="B130" s="1">
        <v>1</v>
      </c>
      <c r="C130" s="1">
        <v>750</v>
      </c>
      <c r="D130" s="1">
        <v>910</v>
      </c>
      <c r="E130" s="1">
        <v>1</v>
      </c>
      <c r="F130" s="1" t="s">
        <v>15</v>
      </c>
      <c r="G130" s="1" t="b">
        <v>0</v>
      </c>
      <c r="H130" s="1">
        <v>1</v>
      </c>
      <c r="I130" s="1" t="b">
        <v>0</v>
      </c>
      <c r="J130" s="1">
        <v>42446.527442641302</v>
      </c>
      <c r="K130" s="1">
        <v>110549.048420897</v>
      </c>
      <c r="L130" s="4">
        <v>2.6044309177066101</v>
      </c>
      <c r="M130" s="1">
        <v>5.17</v>
      </c>
      <c r="N130" s="1">
        <v>27.56</v>
      </c>
      <c r="O130" s="1">
        <v>94.38</v>
      </c>
      <c r="P130" s="8">
        <f>AVERAGE(L128:L130)</f>
        <v>2.4461907215580099</v>
      </c>
      <c r="Q130" s="8">
        <f>_xlfn.STDEV.P(L128:L130)</f>
        <v>0.11475225090656602</v>
      </c>
    </row>
    <row r="131" spans="1:17" x14ac:dyDescent="0.2">
      <c r="A131" t="s">
        <v>151</v>
      </c>
      <c r="B131">
        <v>1</v>
      </c>
      <c r="C131">
        <v>750</v>
      </c>
      <c r="D131">
        <v>910</v>
      </c>
      <c r="E131">
        <v>1</v>
      </c>
      <c r="F131" t="s">
        <v>15</v>
      </c>
      <c r="G131" t="b">
        <v>0</v>
      </c>
      <c r="H131">
        <v>1</v>
      </c>
      <c r="I131" t="b">
        <v>1</v>
      </c>
      <c r="J131">
        <v>21744.220983715299</v>
      </c>
      <c r="K131">
        <v>10679.7988287521</v>
      </c>
      <c r="L131" s="3">
        <v>0.49115573451679201</v>
      </c>
      <c r="M131">
        <v>6.34</v>
      </c>
      <c r="N131">
        <v>11.85</v>
      </c>
      <c r="O131">
        <v>10.039999999999999</v>
      </c>
      <c r="P131" s="8"/>
      <c r="Q131" s="8"/>
    </row>
    <row r="132" spans="1:17" x14ac:dyDescent="0.2">
      <c r="A132" t="s">
        <v>152</v>
      </c>
      <c r="B132">
        <v>1</v>
      </c>
      <c r="C132">
        <v>750</v>
      </c>
      <c r="D132">
        <v>910</v>
      </c>
      <c r="E132">
        <v>1</v>
      </c>
      <c r="F132" t="s">
        <v>15</v>
      </c>
      <c r="G132" t="b">
        <v>0</v>
      </c>
      <c r="H132">
        <v>1</v>
      </c>
      <c r="I132" t="b">
        <v>0</v>
      </c>
      <c r="J132">
        <v>37828.252557838801</v>
      </c>
      <c r="K132">
        <v>19567.568825359998</v>
      </c>
      <c r="L132" s="3">
        <v>0.51727392893556201</v>
      </c>
      <c r="M132">
        <v>13.34</v>
      </c>
      <c r="N132">
        <v>9.9600000000000009</v>
      </c>
      <c r="O132">
        <v>7.27</v>
      </c>
      <c r="P132" s="8"/>
      <c r="Q132" s="8"/>
    </row>
    <row r="133" spans="1:17" x14ac:dyDescent="0.2">
      <c r="A133" t="s">
        <v>153</v>
      </c>
      <c r="B133">
        <v>1</v>
      </c>
      <c r="C133">
        <v>750</v>
      </c>
      <c r="D133">
        <v>910</v>
      </c>
      <c r="E133">
        <v>1</v>
      </c>
      <c r="F133" t="s">
        <v>15</v>
      </c>
      <c r="G133" t="b">
        <v>0</v>
      </c>
      <c r="H133">
        <v>1</v>
      </c>
      <c r="I133" t="b">
        <v>0</v>
      </c>
      <c r="J133">
        <v>37828.252557838801</v>
      </c>
      <c r="K133">
        <v>19567.568825359998</v>
      </c>
      <c r="L133" s="3">
        <v>0.51727392893556201</v>
      </c>
      <c r="M133">
        <v>13.34</v>
      </c>
      <c r="N133">
        <v>9.9600000000000009</v>
      </c>
      <c r="O133">
        <v>7.27</v>
      </c>
      <c r="P133" s="8"/>
      <c r="Q133" s="8"/>
    </row>
    <row r="134" spans="1:17" x14ac:dyDescent="0.2">
      <c r="A134" t="s">
        <v>154</v>
      </c>
      <c r="B134">
        <v>1</v>
      </c>
      <c r="C134">
        <v>750</v>
      </c>
      <c r="D134">
        <v>910</v>
      </c>
      <c r="E134">
        <v>1</v>
      </c>
      <c r="F134" t="s">
        <v>15</v>
      </c>
      <c r="G134" t="b">
        <v>0</v>
      </c>
      <c r="H134">
        <v>1</v>
      </c>
      <c r="I134" t="b">
        <v>0</v>
      </c>
      <c r="J134">
        <v>50981.498996327398</v>
      </c>
      <c r="K134">
        <v>31923.982539229899</v>
      </c>
      <c r="L134" s="3">
        <v>0.62618760075159097</v>
      </c>
      <c r="M134">
        <v>24.14</v>
      </c>
      <c r="N134">
        <v>7.52</v>
      </c>
      <c r="O134">
        <v>7.49</v>
      </c>
      <c r="P134" s="8"/>
      <c r="Q134" s="8"/>
    </row>
    <row r="135" spans="1:17" x14ac:dyDescent="0.2">
      <c r="A135" t="s">
        <v>155</v>
      </c>
      <c r="B135">
        <v>1</v>
      </c>
      <c r="C135">
        <v>750</v>
      </c>
      <c r="D135">
        <v>910</v>
      </c>
      <c r="E135">
        <v>1</v>
      </c>
      <c r="F135" t="s">
        <v>15</v>
      </c>
      <c r="G135" t="b">
        <v>0</v>
      </c>
      <c r="H135">
        <v>1</v>
      </c>
      <c r="I135" t="b">
        <v>0</v>
      </c>
      <c r="J135">
        <v>136982.001517767</v>
      </c>
      <c r="K135">
        <v>68019.064699973402</v>
      </c>
      <c r="L135" s="3">
        <v>0.496554758627549</v>
      </c>
      <c r="M135">
        <v>12.47</v>
      </c>
      <c r="N135">
        <v>38.69</v>
      </c>
      <c r="O135">
        <v>25.26</v>
      </c>
      <c r="P135" s="8"/>
      <c r="Q135" s="8"/>
    </row>
    <row r="136" spans="1:17" x14ac:dyDescent="0.2">
      <c r="A136" s="1" t="s">
        <v>156</v>
      </c>
      <c r="B136" s="1">
        <v>1</v>
      </c>
      <c r="C136" s="1">
        <v>750</v>
      </c>
      <c r="D136" s="1">
        <v>910</v>
      </c>
      <c r="E136" s="1">
        <v>1</v>
      </c>
      <c r="F136" s="1" t="s">
        <v>15</v>
      </c>
      <c r="G136" s="1" t="b">
        <v>0</v>
      </c>
      <c r="H136" s="1">
        <v>1</v>
      </c>
      <c r="I136" s="1" t="b">
        <v>0</v>
      </c>
      <c r="J136" s="1">
        <v>97508.593584791801</v>
      </c>
      <c r="K136" s="1">
        <v>52648.971244453198</v>
      </c>
      <c r="L136" s="4">
        <v>0.53994185854676002</v>
      </c>
      <c r="M136" s="1">
        <v>21.67</v>
      </c>
      <c r="N136" s="1">
        <v>15.78</v>
      </c>
      <c r="O136" s="1">
        <v>11.1</v>
      </c>
      <c r="P136" s="8">
        <f>AVERAGE(L131:L136)</f>
        <v>0.53139796838563602</v>
      </c>
      <c r="Q136" s="8">
        <f>_xlfn.STDEV.P(L131:L136)</f>
        <v>4.5259503784534076E-2</v>
      </c>
    </row>
    <row r="137" spans="1:17" x14ac:dyDescent="0.2">
      <c r="A137" t="s">
        <v>157</v>
      </c>
      <c r="B137">
        <v>1</v>
      </c>
      <c r="C137">
        <v>750</v>
      </c>
      <c r="D137">
        <v>910</v>
      </c>
      <c r="E137">
        <v>1</v>
      </c>
      <c r="F137" t="s">
        <v>15</v>
      </c>
      <c r="G137" t="b">
        <v>0</v>
      </c>
      <c r="H137">
        <v>1</v>
      </c>
      <c r="I137" t="b">
        <v>0</v>
      </c>
      <c r="J137">
        <v>36803.445693265799</v>
      </c>
      <c r="K137">
        <v>43698.542402697101</v>
      </c>
      <c r="L137" s="3">
        <v>1.1873492163450501</v>
      </c>
      <c r="M137">
        <v>5.78</v>
      </c>
      <c r="N137">
        <v>23.56</v>
      </c>
      <c r="O137">
        <v>35.46</v>
      </c>
      <c r="P137" s="8"/>
      <c r="Q137" s="8"/>
    </row>
    <row r="138" spans="1:17" x14ac:dyDescent="0.2">
      <c r="A138" t="s">
        <v>158</v>
      </c>
      <c r="B138">
        <v>1</v>
      </c>
      <c r="C138">
        <v>750</v>
      </c>
      <c r="D138">
        <v>910</v>
      </c>
      <c r="E138">
        <v>1</v>
      </c>
      <c r="F138" t="s">
        <v>15</v>
      </c>
      <c r="G138" t="b">
        <v>0</v>
      </c>
      <c r="H138">
        <v>1</v>
      </c>
      <c r="I138" t="b">
        <v>0</v>
      </c>
      <c r="J138">
        <v>24638.970349986099</v>
      </c>
      <c r="K138">
        <v>35544.052075247899</v>
      </c>
      <c r="L138" s="3">
        <v>1.44259486376093</v>
      </c>
      <c r="M138">
        <v>5.05</v>
      </c>
      <c r="N138">
        <v>18.28</v>
      </c>
      <c r="O138">
        <v>30.5</v>
      </c>
      <c r="P138" s="8"/>
      <c r="Q138" s="8"/>
    </row>
    <row r="139" spans="1:17" x14ac:dyDescent="0.2">
      <c r="A139" s="1" t="s">
        <v>159</v>
      </c>
      <c r="B139" s="1">
        <v>1</v>
      </c>
      <c r="C139" s="1">
        <v>750</v>
      </c>
      <c r="D139" s="1">
        <v>910</v>
      </c>
      <c r="E139" s="1">
        <v>1</v>
      </c>
      <c r="F139" s="1" t="s">
        <v>15</v>
      </c>
      <c r="G139" s="1" t="b">
        <v>0</v>
      </c>
      <c r="H139" s="1">
        <v>1</v>
      </c>
      <c r="I139" s="1" t="b">
        <v>0</v>
      </c>
      <c r="J139" s="1">
        <v>42882.388365307801</v>
      </c>
      <c r="K139" s="1">
        <v>57138.239668529401</v>
      </c>
      <c r="L139" s="4">
        <v>1.3324407022710201</v>
      </c>
      <c r="M139" s="1">
        <v>4.83</v>
      </c>
      <c r="N139" s="1">
        <v>32.799999999999997</v>
      </c>
      <c r="O139" s="1">
        <v>53.8</v>
      </c>
      <c r="P139" s="9">
        <f>AVERAGE(L138:L139)</f>
        <v>1.3875177830159751</v>
      </c>
      <c r="Q139" s="9"/>
    </row>
    <row r="140" spans="1:17" x14ac:dyDescent="0.2">
      <c r="P140" s="8"/>
      <c r="Q140" s="8"/>
    </row>
    <row r="141" spans="1:17" x14ac:dyDescent="0.2">
      <c r="A141" s="1" t="s">
        <v>408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4"/>
      <c r="M141" s="1"/>
      <c r="N141" s="1"/>
      <c r="O141" s="1"/>
      <c r="P141" s="9"/>
      <c r="Q141" s="9"/>
    </row>
    <row r="142" spans="1:17" x14ac:dyDescent="0.2">
      <c r="A142" t="s">
        <v>160</v>
      </c>
      <c r="B142">
        <v>1</v>
      </c>
      <c r="C142">
        <v>750</v>
      </c>
      <c r="D142">
        <v>910</v>
      </c>
      <c r="E142">
        <v>1</v>
      </c>
      <c r="F142" t="s">
        <v>15</v>
      </c>
      <c r="G142" t="b">
        <v>0</v>
      </c>
      <c r="H142">
        <v>1</v>
      </c>
      <c r="I142" t="b">
        <v>0</v>
      </c>
      <c r="J142">
        <v>11143.3072577311</v>
      </c>
      <c r="K142">
        <v>42781.058636537702</v>
      </c>
      <c r="L142" s="3">
        <v>3.8391706920633002</v>
      </c>
      <c r="M142">
        <v>4.28</v>
      </c>
      <c r="N142">
        <v>7.07</v>
      </c>
      <c r="O142">
        <v>43.84</v>
      </c>
      <c r="P142" s="8"/>
      <c r="Q142" s="8"/>
    </row>
    <row r="143" spans="1:17" x14ac:dyDescent="0.2">
      <c r="A143" t="s">
        <v>161</v>
      </c>
      <c r="B143">
        <v>1</v>
      </c>
      <c r="C143">
        <v>750</v>
      </c>
      <c r="D143">
        <v>910</v>
      </c>
      <c r="E143">
        <v>1</v>
      </c>
      <c r="F143" t="s">
        <v>15</v>
      </c>
      <c r="G143" t="b">
        <v>0</v>
      </c>
      <c r="H143">
        <v>1</v>
      </c>
      <c r="I143" t="b">
        <v>0</v>
      </c>
      <c r="J143">
        <v>10545.9237068521</v>
      </c>
      <c r="K143">
        <v>45596.866226741498</v>
      </c>
      <c r="L143" s="3">
        <v>4.3236484061718699</v>
      </c>
      <c r="M143">
        <v>5.6</v>
      </c>
      <c r="N143">
        <v>4.9800000000000004</v>
      </c>
      <c r="O143">
        <v>34.43</v>
      </c>
      <c r="P143" s="8"/>
      <c r="Q143" s="8"/>
    </row>
    <row r="144" spans="1:17" x14ac:dyDescent="0.2">
      <c r="A144" s="1" t="s">
        <v>162</v>
      </c>
      <c r="B144" s="1">
        <v>1</v>
      </c>
      <c r="C144" s="1">
        <v>750</v>
      </c>
      <c r="D144" s="1">
        <v>910</v>
      </c>
      <c r="E144" s="1">
        <v>1</v>
      </c>
      <c r="F144" s="1" t="s">
        <v>15</v>
      </c>
      <c r="G144" s="1" t="b">
        <v>0</v>
      </c>
      <c r="H144" s="1">
        <v>1</v>
      </c>
      <c r="I144" s="1" t="b">
        <v>0</v>
      </c>
      <c r="J144" s="1">
        <v>10535.9589247772</v>
      </c>
      <c r="K144" s="1">
        <v>45596.8662513577</v>
      </c>
      <c r="L144" s="4">
        <v>4.3277376626942203</v>
      </c>
      <c r="M144" s="1">
        <v>5.6</v>
      </c>
      <c r="N144" s="1">
        <v>5</v>
      </c>
      <c r="O144" s="1">
        <v>34.43</v>
      </c>
      <c r="P144" s="8">
        <f>AVERAGE(L142:L144)</f>
        <v>4.1635189203097971</v>
      </c>
      <c r="Q144" s="8">
        <f>_xlfn.STDEV.P(L142:L144)</f>
        <v>0.22935490748286086</v>
      </c>
    </row>
    <row r="145" spans="1:18" x14ac:dyDescent="0.2">
      <c r="A145" t="s">
        <v>163</v>
      </c>
      <c r="B145">
        <v>1</v>
      </c>
      <c r="C145">
        <v>750</v>
      </c>
      <c r="D145">
        <v>910</v>
      </c>
      <c r="E145">
        <v>1</v>
      </c>
      <c r="F145" t="s">
        <v>15</v>
      </c>
      <c r="G145" t="b">
        <v>0</v>
      </c>
      <c r="H145">
        <v>1</v>
      </c>
      <c r="I145" t="b">
        <v>0</v>
      </c>
      <c r="J145">
        <v>22935.519910279399</v>
      </c>
      <c r="K145">
        <v>68094.745153188196</v>
      </c>
      <c r="L145" s="3">
        <v>2.9689645327232701</v>
      </c>
      <c r="M145">
        <v>7.08</v>
      </c>
      <c r="N145">
        <v>8.67</v>
      </c>
      <c r="O145">
        <v>43.67</v>
      </c>
      <c r="P145" s="8"/>
      <c r="Q145" s="8"/>
    </row>
    <row r="146" spans="1:18" x14ac:dyDescent="0.2">
      <c r="A146" t="s">
        <v>164</v>
      </c>
      <c r="B146">
        <v>1</v>
      </c>
      <c r="C146">
        <v>750</v>
      </c>
      <c r="D146">
        <v>910</v>
      </c>
      <c r="E146">
        <v>1</v>
      </c>
      <c r="F146" t="s">
        <v>15</v>
      </c>
      <c r="G146" t="b">
        <v>0</v>
      </c>
      <c r="H146">
        <v>1</v>
      </c>
      <c r="I146" t="b">
        <v>0</v>
      </c>
      <c r="J146">
        <v>14653.647396477099</v>
      </c>
      <c r="K146">
        <v>57332.364823247903</v>
      </c>
      <c r="L146" s="3">
        <v>3.9124979107270601</v>
      </c>
      <c r="M146">
        <v>5.49</v>
      </c>
      <c r="N146">
        <v>7.07</v>
      </c>
      <c r="O146">
        <v>47.04</v>
      </c>
      <c r="P146" s="8"/>
      <c r="Q146" s="8"/>
    </row>
    <row r="147" spans="1:18" x14ac:dyDescent="0.2">
      <c r="A147" s="1" t="s">
        <v>165</v>
      </c>
      <c r="B147" s="1">
        <v>1</v>
      </c>
      <c r="C147" s="1">
        <v>750</v>
      </c>
      <c r="D147" s="1">
        <v>910</v>
      </c>
      <c r="E147" s="1">
        <v>1</v>
      </c>
      <c r="F147" s="1" t="s">
        <v>15</v>
      </c>
      <c r="G147" s="1" t="b">
        <v>0</v>
      </c>
      <c r="H147" s="1">
        <v>1</v>
      </c>
      <c r="I147" s="1" t="b">
        <v>0</v>
      </c>
      <c r="J147" s="1">
        <v>14849.765318890801</v>
      </c>
      <c r="K147" s="1">
        <v>62509.684157981297</v>
      </c>
      <c r="L147" s="4">
        <v>4.2094728647637796</v>
      </c>
      <c r="M147" s="1">
        <v>6.31</v>
      </c>
      <c r="N147" s="1">
        <v>6.28</v>
      </c>
      <c r="O147" s="1">
        <v>42.6</v>
      </c>
      <c r="P147" s="8">
        <f>AVERAGE(L145:L147)</f>
        <v>3.6969784360713702</v>
      </c>
      <c r="Q147" s="8">
        <f>_xlfn.STDEV.P(L145:L147)</f>
        <v>0.52886779282562768</v>
      </c>
    </row>
    <row r="148" spans="1:18" x14ac:dyDescent="0.2">
      <c r="A148" t="s">
        <v>166</v>
      </c>
      <c r="B148">
        <v>1</v>
      </c>
      <c r="C148">
        <v>750</v>
      </c>
      <c r="D148">
        <v>910</v>
      </c>
      <c r="E148">
        <v>1</v>
      </c>
      <c r="F148" t="s">
        <v>15</v>
      </c>
      <c r="G148" t="b">
        <v>0</v>
      </c>
      <c r="H148">
        <v>1</v>
      </c>
      <c r="I148" t="b">
        <v>0</v>
      </c>
      <c r="J148">
        <v>16464.1958845843</v>
      </c>
      <c r="K148">
        <v>99675.861431837198</v>
      </c>
      <c r="L148" s="3">
        <v>6.0540983677900098</v>
      </c>
      <c r="M148">
        <v>6.41</v>
      </c>
      <c r="N148">
        <v>6.82</v>
      </c>
      <c r="O148">
        <v>69.400000000000006</v>
      </c>
      <c r="P148" s="8"/>
      <c r="Q148" s="8"/>
    </row>
    <row r="149" spans="1:18" x14ac:dyDescent="0.2">
      <c r="A149" t="s">
        <v>167</v>
      </c>
      <c r="B149">
        <v>1</v>
      </c>
      <c r="C149">
        <v>750</v>
      </c>
      <c r="D149">
        <v>910</v>
      </c>
      <c r="E149">
        <v>1</v>
      </c>
      <c r="F149" t="s">
        <v>15</v>
      </c>
      <c r="G149" t="b">
        <v>0</v>
      </c>
      <c r="H149">
        <v>1</v>
      </c>
      <c r="I149" t="b">
        <v>0</v>
      </c>
      <c r="J149">
        <v>11209.224575034301</v>
      </c>
      <c r="K149">
        <v>74731.111312246096</v>
      </c>
      <c r="L149" s="3">
        <v>6.6669296178337101</v>
      </c>
      <c r="M149">
        <v>3.86</v>
      </c>
      <c r="N149">
        <v>7.59</v>
      </c>
      <c r="O149">
        <v>87.27</v>
      </c>
      <c r="P149" s="8"/>
      <c r="Q149" s="8"/>
    </row>
    <row r="150" spans="1:18" x14ac:dyDescent="0.2">
      <c r="A150" s="1" t="s">
        <v>168</v>
      </c>
      <c r="B150" s="1">
        <v>1</v>
      </c>
      <c r="C150" s="1">
        <v>750</v>
      </c>
      <c r="D150" s="1">
        <v>910</v>
      </c>
      <c r="E150" s="1">
        <v>1</v>
      </c>
      <c r="F150" s="1" t="s">
        <v>15</v>
      </c>
      <c r="G150" s="1" t="b">
        <v>0</v>
      </c>
      <c r="H150" s="1">
        <v>1</v>
      </c>
      <c r="I150" s="1" t="b">
        <v>0</v>
      </c>
      <c r="J150" s="1">
        <v>8275.4531627504402</v>
      </c>
      <c r="K150" s="1">
        <v>52974.123933880102</v>
      </c>
      <c r="L150" s="4">
        <v>6.4013562631624596</v>
      </c>
      <c r="M150" s="1">
        <v>3.66</v>
      </c>
      <c r="N150" s="1">
        <v>6.03</v>
      </c>
      <c r="O150" s="1">
        <v>65.599999999999994</v>
      </c>
      <c r="P150" s="8">
        <f>AVERAGE(L148:L150)</f>
        <v>6.3741280829287268</v>
      </c>
      <c r="Q150" s="8">
        <f>_xlfn.STDEV.P(L148:L150)</f>
        <v>0.25092703535312361</v>
      </c>
    </row>
    <row r="151" spans="1:18" x14ac:dyDescent="0.2">
      <c r="P151" s="8"/>
      <c r="Q151" s="8"/>
    </row>
    <row r="152" spans="1:18" x14ac:dyDescent="0.2">
      <c r="A152" t="s">
        <v>169</v>
      </c>
      <c r="B152">
        <v>1</v>
      </c>
      <c r="C152">
        <v>750</v>
      </c>
      <c r="D152">
        <v>910</v>
      </c>
      <c r="E152">
        <v>1</v>
      </c>
      <c r="F152" t="s">
        <v>15</v>
      </c>
      <c r="G152" t="b">
        <v>0</v>
      </c>
      <c r="H152">
        <v>1</v>
      </c>
      <c r="I152" t="b">
        <v>0</v>
      </c>
      <c r="J152">
        <v>9354.0435334852991</v>
      </c>
      <c r="K152">
        <v>122039.41125047</v>
      </c>
      <c r="L152" s="3">
        <v>13.046701227506301</v>
      </c>
      <c r="M152">
        <v>5.07</v>
      </c>
      <c r="N152">
        <v>5.92</v>
      </c>
      <c r="O152">
        <v>102.5</v>
      </c>
      <c r="P152" s="8"/>
      <c r="Q152" s="8"/>
    </row>
    <row r="153" spans="1:18" x14ac:dyDescent="0.2">
      <c r="A153" t="s">
        <v>170</v>
      </c>
      <c r="B153">
        <v>1</v>
      </c>
      <c r="C153">
        <v>750</v>
      </c>
      <c r="D153">
        <v>910</v>
      </c>
      <c r="E153">
        <v>1</v>
      </c>
      <c r="F153" t="s">
        <v>15</v>
      </c>
      <c r="G153" t="b">
        <v>0</v>
      </c>
      <c r="H153">
        <v>1</v>
      </c>
      <c r="I153" t="b">
        <v>0</v>
      </c>
      <c r="J153">
        <v>9900.8970340321794</v>
      </c>
      <c r="K153">
        <v>143563.40350902401</v>
      </c>
      <c r="L153" s="3">
        <v>14.500040048447699</v>
      </c>
      <c r="M153">
        <v>6.84</v>
      </c>
      <c r="N153">
        <v>4.74</v>
      </c>
      <c r="O153">
        <v>89.31</v>
      </c>
      <c r="P153" s="8"/>
      <c r="Q153" s="8"/>
    </row>
    <row r="154" spans="1:18" x14ac:dyDescent="0.2">
      <c r="A154" t="s">
        <v>171</v>
      </c>
      <c r="B154">
        <v>1</v>
      </c>
      <c r="C154">
        <v>750</v>
      </c>
      <c r="D154">
        <v>910</v>
      </c>
      <c r="E154">
        <v>1</v>
      </c>
      <c r="F154" t="s">
        <v>15</v>
      </c>
      <c r="G154" t="b">
        <v>0</v>
      </c>
      <c r="H154">
        <v>1</v>
      </c>
      <c r="I154" t="b">
        <v>0</v>
      </c>
      <c r="J154">
        <v>10883.787405007401</v>
      </c>
      <c r="K154">
        <v>148323.569796628</v>
      </c>
      <c r="L154" s="3">
        <v>13.6279370661344</v>
      </c>
      <c r="M154">
        <v>6.21</v>
      </c>
      <c r="N154">
        <v>5.54</v>
      </c>
      <c r="O154">
        <v>102.87</v>
      </c>
      <c r="P154" s="8"/>
      <c r="Q154" s="8"/>
    </row>
    <row r="155" spans="1:18" x14ac:dyDescent="0.2">
      <c r="A155" t="s">
        <v>172</v>
      </c>
      <c r="B155">
        <v>1</v>
      </c>
      <c r="C155">
        <v>750</v>
      </c>
      <c r="D155">
        <v>910</v>
      </c>
      <c r="E155">
        <v>1</v>
      </c>
      <c r="F155" t="s">
        <v>15</v>
      </c>
      <c r="G155" t="b">
        <v>0</v>
      </c>
      <c r="H155">
        <v>1</v>
      </c>
      <c r="I155" t="b">
        <v>0</v>
      </c>
      <c r="J155">
        <v>10777.301833158501</v>
      </c>
      <c r="K155">
        <v>148323.55631031701</v>
      </c>
      <c r="L155" s="3">
        <v>13.762587204709201</v>
      </c>
      <c r="M155">
        <v>6.49</v>
      </c>
      <c r="N155">
        <v>5.21</v>
      </c>
      <c r="O155">
        <v>98.31</v>
      </c>
      <c r="P155" s="8"/>
      <c r="Q155" s="8"/>
    </row>
    <row r="156" spans="1:18" x14ac:dyDescent="0.2">
      <c r="A156" s="1" t="s">
        <v>173</v>
      </c>
      <c r="B156" s="1">
        <v>1</v>
      </c>
      <c r="C156" s="1">
        <v>750</v>
      </c>
      <c r="D156" s="1">
        <v>910</v>
      </c>
      <c r="E156" s="1">
        <v>1</v>
      </c>
      <c r="F156" s="1" t="s">
        <v>15</v>
      </c>
      <c r="G156" s="1" t="b">
        <v>0</v>
      </c>
      <c r="H156" s="1">
        <v>1</v>
      </c>
      <c r="I156" s="1" t="b">
        <v>0</v>
      </c>
      <c r="J156" s="1">
        <v>9326.9655814908492</v>
      </c>
      <c r="K156" s="1">
        <v>122040.71612389501</v>
      </c>
      <c r="L156" s="4">
        <v>13.084718181664799</v>
      </c>
      <c r="M156" s="1">
        <v>5.08</v>
      </c>
      <c r="N156" s="1">
        <v>5.91</v>
      </c>
      <c r="O156" s="1">
        <v>102.34</v>
      </c>
      <c r="P156" s="9">
        <f>AVERAGE(L152:L156)</f>
        <v>13.60439674569248</v>
      </c>
      <c r="Q156" s="9">
        <f>_xlfn.STDEV.P(L152:L156)</f>
        <v>0.53081925260780238</v>
      </c>
      <c r="R156">
        <f>COUNTA(O152:O156)</f>
        <v>5</v>
      </c>
    </row>
    <row r="157" spans="1:18" x14ac:dyDescent="0.2">
      <c r="P157" s="8"/>
      <c r="Q157" s="8"/>
    </row>
    <row r="158" spans="1:18" x14ac:dyDescent="0.2">
      <c r="A158" s="1" t="s">
        <v>404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4"/>
      <c r="M158" s="1"/>
      <c r="N158" s="1"/>
      <c r="O158" s="1"/>
      <c r="P158" s="9"/>
      <c r="Q158" s="9"/>
      <c r="R158" s="1"/>
    </row>
    <row r="159" spans="1:18" x14ac:dyDescent="0.2">
      <c r="A159" t="s">
        <v>183</v>
      </c>
      <c r="B159">
        <v>1</v>
      </c>
      <c r="C159">
        <v>750</v>
      </c>
      <c r="D159">
        <v>910</v>
      </c>
      <c r="E159">
        <v>1</v>
      </c>
      <c r="F159" t="s">
        <v>15</v>
      </c>
      <c r="G159" t="b">
        <v>0</v>
      </c>
      <c r="H159">
        <v>1</v>
      </c>
      <c r="I159" t="b">
        <v>0</v>
      </c>
      <c r="J159">
        <v>10277.0772629156</v>
      </c>
      <c r="K159">
        <v>17050.206817437</v>
      </c>
      <c r="L159" s="3">
        <v>1.6590521197074</v>
      </c>
      <c r="M159">
        <v>9.4499999999999993</v>
      </c>
      <c r="N159">
        <v>3.64</v>
      </c>
      <c r="O159">
        <v>10</v>
      </c>
      <c r="P159" s="8"/>
      <c r="Q159" s="8"/>
    </row>
    <row r="160" spans="1:18" x14ac:dyDescent="0.2">
      <c r="A160" t="s">
        <v>184</v>
      </c>
      <c r="B160">
        <v>1</v>
      </c>
      <c r="C160">
        <v>750</v>
      </c>
      <c r="D160">
        <v>910</v>
      </c>
      <c r="E160">
        <v>1</v>
      </c>
      <c r="F160" t="s">
        <v>15</v>
      </c>
      <c r="G160" t="b">
        <v>0</v>
      </c>
      <c r="H160">
        <v>1</v>
      </c>
      <c r="I160" t="b">
        <v>1</v>
      </c>
      <c r="J160">
        <v>14931.752863854301</v>
      </c>
      <c r="K160">
        <v>29059.4531045082</v>
      </c>
      <c r="L160" s="3">
        <v>1.9461514913532401</v>
      </c>
      <c r="M160">
        <v>4.34</v>
      </c>
      <c r="N160">
        <v>11.31</v>
      </c>
      <c r="O160">
        <v>32.44</v>
      </c>
      <c r="P160" s="8"/>
      <c r="Q160" s="8"/>
    </row>
    <row r="161" spans="1:17" x14ac:dyDescent="0.2">
      <c r="A161" t="s">
        <v>185</v>
      </c>
      <c r="B161">
        <v>1</v>
      </c>
      <c r="C161">
        <v>750</v>
      </c>
      <c r="D161">
        <v>910</v>
      </c>
      <c r="E161">
        <v>1</v>
      </c>
      <c r="F161" t="s">
        <v>15</v>
      </c>
      <c r="G161" t="b">
        <v>0</v>
      </c>
      <c r="H161">
        <v>1</v>
      </c>
      <c r="I161" t="b">
        <v>1</v>
      </c>
      <c r="J161">
        <v>19233.887837667</v>
      </c>
      <c r="K161">
        <v>35599.797759084802</v>
      </c>
      <c r="L161" s="3">
        <v>1.85088932926849</v>
      </c>
      <c r="M161">
        <v>7.02</v>
      </c>
      <c r="N161">
        <v>9.2200000000000006</v>
      </c>
      <c r="O161">
        <v>25.54</v>
      </c>
      <c r="P161" s="8"/>
      <c r="Q161" s="8"/>
    </row>
    <row r="162" spans="1:17" x14ac:dyDescent="0.2">
      <c r="A162" t="s">
        <v>186</v>
      </c>
      <c r="B162">
        <v>1</v>
      </c>
      <c r="C162">
        <v>750</v>
      </c>
      <c r="D162">
        <v>910</v>
      </c>
      <c r="E162">
        <v>1</v>
      </c>
      <c r="F162" t="s">
        <v>15</v>
      </c>
      <c r="G162" t="b">
        <v>0</v>
      </c>
      <c r="H162">
        <v>1</v>
      </c>
      <c r="I162" t="b">
        <v>1</v>
      </c>
      <c r="J162">
        <v>20967.4442863121</v>
      </c>
      <c r="K162">
        <v>44138.8346493852</v>
      </c>
      <c r="L162" s="3">
        <v>2.10511276656639</v>
      </c>
      <c r="M162">
        <v>3.56</v>
      </c>
      <c r="N162">
        <v>19.38</v>
      </c>
      <c r="O162">
        <v>54.81</v>
      </c>
      <c r="P162" s="8"/>
      <c r="Q162" s="8"/>
    </row>
    <row r="163" spans="1:17" x14ac:dyDescent="0.2">
      <c r="A163" s="1" t="s">
        <v>187</v>
      </c>
      <c r="B163" s="1">
        <v>1</v>
      </c>
      <c r="C163" s="1">
        <v>750</v>
      </c>
      <c r="D163" s="1">
        <v>910</v>
      </c>
      <c r="E163" s="1">
        <v>1</v>
      </c>
      <c r="F163" s="1" t="s">
        <v>15</v>
      </c>
      <c r="G163" s="1" t="b">
        <v>0</v>
      </c>
      <c r="H163" s="1">
        <v>1</v>
      </c>
      <c r="I163" s="1" t="b">
        <v>1</v>
      </c>
      <c r="J163" s="1">
        <v>13417.879658494099</v>
      </c>
      <c r="K163" s="1">
        <v>23466.985880587101</v>
      </c>
      <c r="L163" s="4">
        <v>1.7489339953747001</v>
      </c>
      <c r="M163" s="1">
        <v>3.91</v>
      </c>
      <c r="N163" s="1">
        <v>11.31</v>
      </c>
      <c r="O163" s="1">
        <v>28.46</v>
      </c>
      <c r="P163" s="9">
        <f>AVERAGE(L159:L163)</f>
        <v>1.8620279404540441</v>
      </c>
      <c r="Q163" s="9">
        <f>_xlfn.STDEV.P(L159:L163)</f>
        <v>0.15510028844749807</v>
      </c>
    </row>
    <row r="164" spans="1:17" x14ac:dyDescent="0.2">
      <c r="A164" t="s">
        <v>188</v>
      </c>
      <c r="B164">
        <v>1</v>
      </c>
      <c r="C164">
        <v>750</v>
      </c>
      <c r="D164">
        <v>910</v>
      </c>
      <c r="E164">
        <v>1</v>
      </c>
      <c r="F164" t="s">
        <v>15</v>
      </c>
      <c r="G164" t="b">
        <v>0</v>
      </c>
      <c r="H164">
        <v>1</v>
      </c>
      <c r="I164" t="b">
        <v>1</v>
      </c>
      <c r="J164">
        <v>8850.4521524743905</v>
      </c>
      <c r="K164">
        <v>48005.489639764397</v>
      </c>
      <c r="L164" s="3">
        <v>5.4240719923380496</v>
      </c>
      <c r="M164">
        <v>2.3199999999999998</v>
      </c>
      <c r="N164">
        <v>13.55</v>
      </c>
      <c r="O164">
        <v>99.64</v>
      </c>
      <c r="P164" s="8"/>
      <c r="Q164" s="8"/>
    </row>
    <row r="165" spans="1:17" x14ac:dyDescent="0.2">
      <c r="A165" t="s">
        <v>189</v>
      </c>
      <c r="B165">
        <v>1</v>
      </c>
      <c r="C165">
        <v>750</v>
      </c>
      <c r="D165">
        <v>910</v>
      </c>
      <c r="E165">
        <v>1</v>
      </c>
      <c r="F165" t="s">
        <v>15</v>
      </c>
      <c r="G165" t="b">
        <v>0</v>
      </c>
      <c r="H165">
        <v>1</v>
      </c>
      <c r="I165" t="b">
        <v>1</v>
      </c>
      <c r="J165">
        <v>7011.8963244864299</v>
      </c>
      <c r="K165">
        <v>32312.002702578498</v>
      </c>
      <c r="L165" s="3">
        <v>4.6081689185478796</v>
      </c>
      <c r="M165">
        <v>1.84</v>
      </c>
      <c r="N165">
        <v>18.940000000000001</v>
      </c>
      <c r="O165">
        <v>77.66</v>
      </c>
      <c r="P165" s="8"/>
      <c r="Q165" s="8"/>
    </row>
    <row r="166" spans="1:17" x14ac:dyDescent="0.2">
      <c r="A166" t="s">
        <v>190</v>
      </c>
      <c r="B166">
        <v>1</v>
      </c>
      <c r="C166">
        <v>750</v>
      </c>
      <c r="D166">
        <v>910</v>
      </c>
      <c r="E166">
        <v>1</v>
      </c>
      <c r="F166" t="s">
        <v>15</v>
      </c>
      <c r="G166" t="b">
        <v>0</v>
      </c>
      <c r="H166">
        <v>1</v>
      </c>
      <c r="I166" t="b">
        <v>1</v>
      </c>
      <c r="J166">
        <v>5559.7173457592999</v>
      </c>
      <c r="K166">
        <v>22888.719294209499</v>
      </c>
      <c r="L166" s="3">
        <v>4.1168854225418396</v>
      </c>
      <c r="M166">
        <v>2.13</v>
      </c>
      <c r="N166">
        <v>10.94</v>
      </c>
      <c r="O166">
        <v>46.55</v>
      </c>
      <c r="P166" s="8"/>
      <c r="Q166" s="8"/>
    </row>
    <row r="167" spans="1:17" x14ac:dyDescent="0.2">
      <c r="A167" t="s">
        <v>191</v>
      </c>
      <c r="B167">
        <v>1</v>
      </c>
      <c r="C167">
        <v>750</v>
      </c>
      <c r="D167">
        <v>910</v>
      </c>
      <c r="E167">
        <v>1</v>
      </c>
      <c r="F167" t="s">
        <v>15</v>
      </c>
      <c r="G167" t="b">
        <v>0</v>
      </c>
      <c r="H167">
        <v>1</v>
      </c>
      <c r="I167" t="b">
        <v>1</v>
      </c>
      <c r="J167">
        <v>6056.3630997890896</v>
      </c>
      <c r="K167">
        <v>28808.8882472642</v>
      </c>
      <c r="L167" s="3">
        <v>4.7567967396583999</v>
      </c>
      <c r="M167">
        <v>2.34</v>
      </c>
      <c r="N167">
        <v>9.41</v>
      </c>
      <c r="O167">
        <v>56.07</v>
      </c>
      <c r="P167" s="8"/>
      <c r="Q167" s="8"/>
    </row>
    <row r="168" spans="1:17" x14ac:dyDescent="0.2">
      <c r="A168" t="s">
        <v>192</v>
      </c>
      <c r="B168">
        <v>1</v>
      </c>
      <c r="C168">
        <v>750</v>
      </c>
      <c r="D168">
        <v>910</v>
      </c>
      <c r="E168">
        <v>1</v>
      </c>
      <c r="F168" t="s">
        <v>15</v>
      </c>
      <c r="G168" t="b">
        <v>0</v>
      </c>
      <c r="H168">
        <v>1</v>
      </c>
      <c r="I168" t="b">
        <v>1</v>
      </c>
      <c r="J168">
        <v>7376.6353665378001</v>
      </c>
      <c r="K168">
        <v>31163.525017046901</v>
      </c>
      <c r="L168" s="3">
        <v>4.2246259261250998</v>
      </c>
      <c r="M168">
        <v>2.81</v>
      </c>
      <c r="N168">
        <v>9.19</v>
      </c>
      <c r="O168">
        <v>49.61</v>
      </c>
      <c r="P168" s="8"/>
      <c r="Q168" s="8"/>
    </row>
    <row r="169" spans="1:17" x14ac:dyDescent="0.2">
      <c r="A169" s="1" t="s">
        <v>193</v>
      </c>
      <c r="B169" s="1">
        <v>1</v>
      </c>
      <c r="C169" s="1">
        <v>750</v>
      </c>
      <c r="D169" s="1">
        <v>910</v>
      </c>
      <c r="E169" s="1">
        <v>1</v>
      </c>
      <c r="F169" s="1" t="s">
        <v>15</v>
      </c>
      <c r="G169" s="1" t="b">
        <v>0</v>
      </c>
      <c r="H169" s="1">
        <v>1</v>
      </c>
      <c r="I169" s="1" t="b">
        <v>1</v>
      </c>
      <c r="J169" s="1">
        <v>7011.1549560486901</v>
      </c>
      <c r="K169" s="1">
        <v>32642.8115144476</v>
      </c>
      <c r="L169" s="4">
        <v>4.65583940436031</v>
      </c>
      <c r="M169" s="1">
        <v>2.73</v>
      </c>
      <c r="N169" s="1">
        <v>9.9</v>
      </c>
      <c r="O169" s="1">
        <v>52.98</v>
      </c>
      <c r="P169" s="9">
        <f>AVERAGE(L164:L169)</f>
        <v>4.6310647339285964</v>
      </c>
      <c r="Q169" s="9">
        <f>_xlfn.STDEV.P(L164:L169)</f>
        <v>0.42335562681957106</v>
      </c>
    </row>
    <row r="170" spans="1:17" x14ac:dyDescent="0.2">
      <c r="A170" t="s">
        <v>194</v>
      </c>
      <c r="B170">
        <v>1</v>
      </c>
      <c r="C170">
        <v>750</v>
      </c>
      <c r="D170">
        <v>910</v>
      </c>
      <c r="E170">
        <v>1</v>
      </c>
      <c r="F170" t="s">
        <v>15</v>
      </c>
      <c r="G170" t="b">
        <v>0</v>
      </c>
      <c r="H170">
        <v>1</v>
      </c>
      <c r="I170" t="b">
        <v>1</v>
      </c>
      <c r="J170">
        <v>5641.6542307135596</v>
      </c>
      <c r="K170">
        <v>29298.882646836399</v>
      </c>
      <c r="L170" s="3">
        <v>5.1933141324633496</v>
      </c>
      <c r="M170">
        <v>2.19</v>
      </c>
      <c r="N170">
        <v>9.2200000000000006</v>
      </c>
      <c r="O170">
        <v>69.28</v>
      </c>
      <c r="P170" s="8"/>
      <c r="Q170" s="8"/>
    </row>
    <row r="171" spans="1:17" x14ac:dyDescent="0.2">
      <c r="A171" t="s">
        <v>195</v>
      </c>
      <c r="B171">
        <v>1</v>
      </c>
      <c r="C171">
        <v>750</v>
      </c>
      <c r="D171">
        <v>910</v>
      </c>
      <c r="E171">
        <v>1</v>
      </c>
      <c r="F171" t="s">
        <v>15</v>
      </c>
      <c r="G171" t="b">
        <v>0</v>
      </c>
      <c r="H171">
        <v>1</v>
      </c>
      <c r="I171" t="b">
        <v>1</v>
      </c>
      <c r="J171">
        <v>5211.7903092966999</v>
      </c>
      <c r="K171">
        <v>29766.410775521999</v>
      </c>
      <c r="L171" s="3">
        <v>5.711360014317</v>
      </c>
      <c r="M171">
        <v>1.8</v>
      </c>
      <c r="N171">
        <v>11.61</v>
      </c>
      <c r="O171">
        <v>85.44</v>
      </c>
      <c r="P171" s="8"/>
      <c r="Q171" s="8"/>
    </row>
    <row r="172" spans="1:17" x14ac:dyDescent="0.2">
      <c r="A172" t="s">
        <v>196</v>
      </c>
      <c r="B172">
        <v>1</v>
      </c>
      <c r="C172">
        <v>750</v>
      </c>
      <c r="D172">
        <v>910</v>
      </c>
      <c r="E172">
        <v>1</v>
      </c>
      <c r="F172" t="s">
        <v>15</v>
      </c>
      <c r="G172" t="b">
        <v>0</v>
      </c>
      <c r="H172">
        <v>1</v>
      </c>
      <c r="I172" t="b">
        <v>1</v>
      </c>
      <c r="J172">
        <v>7877.9691837994096</v>
      </c>
      <c r="K172">
        <v>45260.207420672203</v>
      </c>
      <c r="L172" s="3">
        <v>5.74516177516246</v>
      </c>
      <c r="M172">
        <v>3.02</v>
      </c>
      <c r="N172">
        <v>8.9700000000000006</v>
      </c>
      <c r="O172">
        <v>69.12</v>
      </c>
      <c r="P172" s="8"/>
      <c r="Q172" s="8"/>
    </row>
    <row r="173" spans="1:17" x14ac:dyDescent="0.2">
      <c r="A173" t="s">
        <v>197</v>
      </c>
      <c r="B173">
        <v>1</v>
      </c>
      <c r="C173">
        <v>750</v>
      </c>
      <c r="D173">
        <v>910</v>
      </c>
      <c r="E173">
        <v>1</v>
      </c>
      <c r="F173" t="s">
        <v>15</v>
      </c>
      <c r="G173" t="b">
        <v>0</v>
      </c>
      <c r="H173">
        <v>1</v>
      </c>
      <c r="I173" t="b">
        <v>1</v>
      </c>
      <c r="J173">
        <v>6810.5015616272003</v>
      </c>
      <c r="K173">
        <v>37506.489993670803</v>
      </c>
      <c r="L173" s="3">
        <v>5.5071553327284697</v>
      </c>
      <c r="M173">
        <v>2.5099999999999998</v>
      </c>
      <c r="N173">
        <v>9.94</v>
      </c>
      <c r="O173">
        <v>73.52</v>
      </c>
      <c r="P173" s="8"/>
      <c r="Q173" s="8"/>
    </row>
    <row r="174" spans="1:17" x14ac:dyDescent="0.2">
      <c r="A174" s="1" t="s">
        <v>198</v>
      </c>
      <c r="B174" s="1">
        <v>1</v>
      </c>
      <c r="C174" s="1">
        <v>750</v>
      </c>
      <c r="D174" s="1">
        <v>910</v>
      </c>
      <c r="E174" s="1">
        <v>1</v>
      </c>
      <c r="F174" s="1" t="s">
        <v>15</v>
      </c>
      <c r="G174" s="1" t="b">
        <v>0</v>
      </c>
      <c r="H174" s="1">
        <v>1</v>
      </c>
      <c r="I174" s="1" t="b">
        <v>1</v>
      </c>
      <c r="J174" s="1">
        <v>7394.53644567016</v>
      </c>
      <c r="K174" s="1">
        <v>44422.848072233297</v>
      </c>
      <c r="L174" s="4">
        <v>6.0075230406423801</v>
      </c>
      <c r="M174" s="1">
        <v>1.82</v>
      </c>
      <c r="N174" s="1">
        <v>15.24</v>
      </c>
      <c r="O174" s="1">
        <v>113.11</v>
      </c>
      <c r="P174" s="9">
        <f>AVERAGE(L170:L174)</f>
        <v>5.6329028590627317</v>
      </c>
      <c r="Q174" s="9">
        <f>_xlfn.STDEV.P(L170:L174)</f>
        <v>0.27134795331223677</v>
      </c>
    </row>
    <row r="175" spans="1:17" x14ac:dyDescent="0.2">
      <c r="A175" t="s">
        <v>199</v>
      </c>
      <c r="B175">
        <v>1</v>
      </c>
      <c r="C175">
        <v>750</v>
      </c>
      <c r="D175">
        <v>910</v>
      </c>
      <c r="E175">
        <v>1</v>
      </c>
      <c r="F175" t="s">
        <v>15</v>
      </c>
      <c r="G175" t="b">
        <v>0</v>
      </c>
      <c r="H175">
        <v>1</v>
      </c>
      <c r="I175" t="b">
        <v>0</v>
      </c>
      <c r="J175">
        <v>7270</v>
      </c>
      <c r="K175">
        <v>72720</v>
      </c>
      <c r="L175" s="3">
        <v>10.01</v>
      </c>
      <c r="M175">
        <v>2.19</v>
      </c>
      <c r="N175">
        <v>10.55</v>
      </c>
      <c r="O175">
        <v>138.47</v>
      </c>
    </row>
    <row r="176" spans="1:17" x14ac:dyDescent="0.2">
      <c r="A176" t="s">
        <v>200</v>
      </c>
      <c r="B176">
        <v>1</v>
      </c>
      <c r="C176">
        <v>750</v>
      </c>
      <c r="D176">
        <v>910</v>
      </c>
      <c r="E176">
        <v>1</v>
      </c>
      <c r="F176" t="s">
        <v>15</v>
      </c>
      <c r="G176" t="b">
        <v>0</v>
      </c>
      <c r="H176">
        <v>1</v>
      </c>
      <c r="I176" t="b">
        <v>1</v>
      </c>
      <c r="J176">
        <v>6380.9534327661104</v>
      </c>
      <c r="K176">
        <v>52052.273766309299</v>
      </c>
      <c r="L176" s="3">
        <v>8.1574445441055197</v>
      </c>
      <c r="M176">
        <v>1.8</v>
      </c>
      <c r="N176">
        <v>13.39</v>
      </c>
      <c r="O176">
        <v>136.74</v>
      </c>
    </row>
    <row r="177" spans="1:18" x14ac:dyDescent="0.2">
      <c r="A177" t="s">
        <v>201</v>
      </c>
      <c r="B177">
        <v>1</v>
      </c>
      <c r="C177">
        <v>750</v>
      </c>
      <c r="D177">
        <v>910</v>
      </c>
      <c r="E177">
        <v>1</v>
      </c>
      <c r="F177" t="s">
        <v>15</v>
      </c>
      <c r="G177" t="b">
        <v>0</v>
      </c>
      <c r="H177">
        <v>1</v>
      </c>
      <c r="I177" t="b">
        <v>1</v>
      </c>
      <c r="J177">
        <v>7724.8428744397597</v>
      </c>
      <c r="K177">
        <v>69140.913443430094</v>
      </c>
      <c r="L177" s="3">
        <v>8.9504621087124097</v>
      </c>
      <c r="M177">
        <v>1.68</v>
      </c>
      <c r="N177">
        <v>17.079999999999998</v>
      </c>
      <c r="O177">
        <v>182.48</v>
      </c>
    </row>
    <row r="178" spans="1:18" x14ac:dyDescent="0.2">
      <c r="A178" t="s">
        <v>202</v>
      </c>
      <c r="B178">
        <v>1</v>
      </c>
      <c r="C178">
        <v>750</v>
      </c>
      <c r="D178">
        <v>910</v>
      </c>
      <c r="E178">
        <v>1</v>
      </c>
      <c r="F178" t="s">
        <v>15</v>
      </c>
      <c r="G178" t="b">
        <v>0</v>
      </c>
      <c r="H178">
        <v>1</v>
      </c>
      <c r="I178" t="b">
        <v>1</v>
      </c>
      <c r="J178">
        <v>7139.8069691702804</v>
      </c>
      <c r="K178">
        <v>65829.978510578396</v>
      </c>
      <c r="L178" s="3">
        <v>9.2201342129881798</v>
      </c>
      <c r="M178">
        <v>1.75</v>
      </c>
      <c r="N178">
        <v>15.2</v>
      </c>
      <c r="O178">
        <v>169.72</v>
      </c>
    </row>
    <row r="179" spans="1:18" x14ac:dyDescent="0.2">
      <c r="A179" t="s">
        <v>203</v>
      </c>
      <c r="B179">
        <v>1</v>
      </c>
      <c r="C179">
        <v>750</v>
      </c>
      <c r="D179">
        <v>910</v>
      </c>
      <c r="E179">
        <v>1</v>
      </c>
      <c r="F179" t="s">
        <v>15</v>
      </c>
      <c r="G179" t="b">
        <v>0</v>
      </c>
      <c r="H179">
        <v>1</v>
      </c>
      <c r="I179" t="b">
        <v>1</v>
      </c>
      <c r="J179">
        <v>6484.1380036415303</v>
      </c>
      <c r="K179">
        <v>58290.785733151599</v>
      </c>
      <c r="L179" s="3">
        <v>8.9897509430575298</v>
      </c>
      <c r="M179">
        <v>1.92</v>
      </c>
      <c r="N179">
        <v>12.21</v>
      </c>
      <c r="O179">
        <v>135.59</v>
      </c>
    </row>
    <row r="180" spans="1:18" x14ac:dyDescent="0.2">
      <c r="A180" t="s">
        <v>204</v>
      </c>
      <c r="B180">
        <v>1</v>
      </c>
      <c r="C180">
        <v>750</v>
      </c>
      <c r="D180">
        <v>910</v>
      </c>
      <c r="E180">
        <v>1</v>
      </c>
      <c r="F180" t="s">
        <v>15</v>
      </c>
      <c r="G180" t="b">
        <v>0</v>
      </c>
      <c r="H180">
        <v>1</v>
      </c>
      <c r="I180" t="b">
        <v>1</v>
      </c>
      <c r="J180">
        <v>5143.2439195215002</v>
      </c>
      <c r="K180">
        <v>41232.8226334305</v>
      </c>
      <c r="L180" s="3">
        <v>8.0168903669780907</v>
      </c>
      <c r="M180">
        <v>1.68</v>
      </c>
      <c r="N180">
        <v>11.34</v>
      </c>
      <c r="O180">
        <v>109.36</v>
      </c>
    </row>
    <row r="181" spans="1:18" x14ac:dyDescent="0.2">
      <c r="A181" s="1" t="s">
        <v>205</v>
      </c>
      <c r="B181" s="1">
        <v>1</v>
      </c>
      <c r="C181" s="1">
        <v>750</v>
      </c>
      <c r="D181" s="1">
        <v>910</v>
      </c>
      <c r="E181" s="1">
        <v>1</v>
      </c>
      <c r="F181" s="1" t="s">
        <v>15</v>
      </c>
      <c r="G181" s="1" t="b">
        <v>0</v>
      </c>
      <c r="H181" s="1">
        <v>1</v>
      </c>
      <c r="I181" s="1" t="b">
        <v>1</v>
      </c>
      <c r="J181" s="1">
        <v>5651.2598592858603</v>
      </c>
      <c r="K181" s="1">
        <v>46910.011502050402</v>
      </c>
      <c r="L181" s="4">
        <v>8.3008059565638792</v>
      </c>
      <c r="M181" s="1">
        <v>4.7699999999999996</v>
      </c>
      <c r="N181" s="1">
        <v>4.3</v>
      </c>
      <c r="O181" s="1">
        <v>46.53</v>
      </c>
      <c r="P181" s="9">
        <f>AVERAGE(L176:L181)</f>
        <v>8.6059146887342681</v>
      </c>
      <c r="Q181" s="9">
        <f>_xlfn.STDEV.P(L176:L181)</f>
        <v>0.46268694949744094</v>
      </c>
    </row>
    <row r="182" spans="1:18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7"/>
      <c r="M182" s="6"/>
      <c r="N182" s="6"/>
      <c r="O182" s="6"/>
      <c r="P182" s="10"/>
      <c r="Q182" s="10"/>
    </row>
    <row r="183" spans="1:18" x14ac:dyDescent="0.2">
      <c r="A183" t="s">
        <v>209</v>
      </c>
      <c r="B183">
        <v>1</v>
      </c>
      <c r="C183">
        <v>750</v>
      </c>
      <c r="D183">
        <v>910</v>
      </c>
      <c r="E183">
        <v>1</v>
      </c>
      <c r="F183" t="s">
        <v>15</v>
      </c>
      <c r="G183" t="b">
        <v>0</v>
      </c>
      <c r="H183">
        <v>1</v>
      </c>
      <c r="I183" t="b">
        <v>0</v>
      </c>
      <c r="J183">
        <v>11247.008730372499</v>
      </c>
      <c r="K183">
        <v>54218.749145757698</v>
      </c>
      <c r="L183" s="3">
        <v>4.8207261544431601</v>
      </c>
      <c r="M183">
        <v>2.25</v>
      </c>
      <c r="N183">
        <v>19.75</v>
      </c>
      <c r="O183">
        <v>110.45</v>
      </c>
      <c r="P183" s="8"/>
      <c r="Q183" s="8"/>
    </row>
    <row r="184" spans="1:18" x14ac:dyDescent="0.2">
      <c r="A184" t="s">
        <v>210</v>
      </c>
      <c r="B184">
        <v>1</v>
      </c>
      <c r="C184">
        <v>750</v>
      </c>
      <c r="D184">
        <v>910</v>
      </c>
      <c r="E184">
        <v>1</v>
      </c>
      <c r="F184" t="s">
        <v>15</v>
      </c>
      <c r="G184" t="b">
        <v>0</v>
      </c>
      <c r="H184">
        <v>1</v>
      </c>
      <c r="I184" t="b">
        <v>0</v>
      </c>
      <c r="J184">
        <v>11236.013018153701</v>
      </c>
      <c r="K184">
        <v>55194.838167898801</v>
      </c>
      <c r="L184" s="3">
        <v>4.9123152561964698</v>
      </c>
      <c r="M184">
        <v>2.0299999999999998</v>
      </c>
      <c r="N184">
        <v>21.34</v>
      </c>
      <c r="O184">
        <v>124.87</v>
      </c>
      <c r="P184" s="8"/>
      <c r="Q184" s="8"/>
    </row>
    <row r="185" spans="1:18" x14ac:dyDescent="0.2">
      <c r="A185" t="s">
        <v>211</v>
      </c>
      <c r="B185">
        <v>1</v>
      </c>
      <c r="C185">
        <v>750</v>
      </c>
      <c r="D185">
        <v>910</v>
      </c>
      <c r="E185">
        <v>1</v>
      </c>
      <c r="F185" t="s">
        <v>15</v>
      </c>
      <c r="G185" t="b">
        <v>0</v>
      </c>
      <c r="H185">
        <v>1</v>
      </c>
      <c r="I185" t="b">
        <v>0</v>
      </c>
      <c r="J185">
        <v>9913.4662709653803</v>
      </c>
      <c r="K185">
        <v>48079.2311854324</v>
      </c>
      <c r="L185" s="3">
        <v>4.8498910342033597</v>
      </c>
      <c r="M185">
        <v>2.38</v>
      </c>
      <c r="N185">
        <v>16.21</v>
      </c>
      <c r="O185">
        <v>91.64</v>
      </c>
      <c r="P185" s="8"/>
      <c r="Q185" s="8"/>
    </row>
    <row r="186" spans="1:18" x14ac:dyDescent="0.2">
      <c r="A186" t="s">
        <v>212</v>
      </c>
      <c r="B186">
        <v>1</v>
      </c>
      <c r="C186">
        <v>750</v>
      </c>
      <c r="D186">
        <v>910</v>
      </c>
      <c r="E186">
        <v>1</v>
      </c>
      <c r="F186" t="s">
        <v>15</v>
      </c>
      <c r="G186" t="b">
        <v>0</v>
      </c>
      <c r="H186">
        <v>1</v>
      </c>
      <c r="I186" t="b">
        <v>0</v>
      </c>
      <c r="J186">
        <v>10714.8630793763</v>
      </c>
      <c r="K186">
        <v>55138.368231551001</v>
      </c>
      <c r="L186" s="3">
        <v>5.1459703986026497</v>
      </c>
      <c r="M186">
        <v>2.1</v>
      </c>
      <c r="N186">
        <v>20.51</v>
      </c>
      <c r="O186">
        <v>116.87</v>
      </c>
      <c r="P186" s="8"/>
      <c r="Q186" s="8"/>
    </row>
    <row r="187" spans="1:18" x14ac:dyDescent="0.2">
      <c r="A187" t="s">
        <v>213</v>
      </c>
      <c r="B187">
        <v>1</v>
      </c>
      <c r="C187">
        <v>750</v>
      </c>
      <c r="D187">
        <v>910</v>
      </c>
      <c r="E187">
        <v>1</v>
      </c>
      <c r="F187" t="s">
        <v>15</v>
      </c>
      <c r="G187" t="b">
        <v>0</v>
      </c>
      <c r="H187">
        <v>1</v>
      </c>
      <c r="I187" t="b">
        <v>0</v>
      </c>
      <c r="J187">
        <v>10673.4829540799</v>
      </c>
      <c r="K187">
        <v>54987.563749298497</v>
      </c>
      <c r="L187" s="3">
        <v>5.1517919676144404</v>
      </c>
      <c r="M187">
        <v>5.61</v>
      </c>
      <c r="N187">
        <v>7.52</v>
      </c>
      <c r="O187">
        <v>44.06</v>
      </c>
      <c r="P187" s="8"/>
      <c r="Q187" s="8"/>
    </row>
    <row r="188" spans="1:18" x14ac:dyDescent="0.2">
      <c r="A188" s="1" t="s">
        <v>214</v>
      </c>
      <c r="B188" s="1">
        <v>1</v>
      </c>
      <c r="C188" s="1">
        <v>750</v>
      </c>
      <c r="D188" s="1">
        <v>910</v>
      </c>
      <c r="E188" s="1">
        <v>1</v>
      </c>
      <c r="F188" s="1" t="s">
        <v>15</v>
      </c>
      <c r="G188" s="1" t="b">
        <v>0</v>
      </c>
      <c r="H188" s="1">
        <v>1</v>
      </c>
      <c r="I188" s="1" t="b">
        <v>0</v>
      </c>
      <c r="J188" s="1">
        <v>10285.592481886701</v>
      </c>
      <c r="K188" s="1">
        <v>51073.113822198698</v>
      </c>
      <c r="L188" s="4">
        <v>4.9655004232512496</v>
      </c>
      <c r="M188" s="1">
        <v>2.0099999999999998</v>
      </c>
      <c r="N188" s="1">
        <v>19.8</v>
      </c>
      <c r="O188" s="1">
        <v>116.97</v>
      </c>
      <c r="P188" s="9">
        <f>AVERAGE(L183:L188)</f>
        <v>4.9743658723852215</v>
      </c>
      <c r="Q188" s="9">
        <f>STDEV(L183:L188)</f>
        <v>0.14419164754871452</v>
      </c>
      <c r="R188">
        <f>COUNTA(O183:O188)</f>
        <v>6</v>
      </c>
    </row>
    <row r="189" spans="1:18" x14ac:dyDescent="0.2">
      <c r="A189" s="6" t="s">
        <v>215</v>
      </c>
      <c r="B189" s="6">
        <v>1</v>
      </c>
      <c r="C189" s="6">
        <v>750</v>
      </c>
      <c r="D189" s="6">
        <v>910</v>
      </c>
      <c r="E189" s="6">
        <v>1</v>
      </c>
      <c r="F189" s="6" t="s">
        <v>15</v>
      </c>
      <c r="G189" s="6" t="b">
        <v>0</v>
      </c>
      <c r="H189" s="6">
        <v>1</v>
      </c>
      <c r="I189" s="6" t="b">
        <v>0</v>
      </c>
      <c r="J189" s="6">
        <v>13229.8581627281</v>
      </c>
      <c r="K189" s="6">
        <v>83098.304968251003</v>
      </c>
      <c r="L189" s="7">
        <v>6.28111835713855</v>
      </c>
      <c r="M189" s="6">
        <v>4.4800000000000004</v>
      </c>
      <c r="N189" s="6">
        <v>10.98</v>
      </c>
      <c r="O189" s="6">
        <v>81.13</v>
      </c>
      <c r="P189" s="10"/>
      <c r="Q189" s="10"/>
    </row>
    <row r="190" spans="1:18" x14ac:dyDescent="0.2">
      <c r="A190" t="s">
        <v>216</v>
      </c>
      <c r="B190">
        <v>1</v>
      </c>
      <c r="C190">
        <v>750</v>
      </c>
      <c r="D190">
        <v>910</v>
      </c>
      <c r="E190">
        <v>1</v>
      </c>
      <c r="F190" t="s">
        <v>15</v>
      </c>
      <c r="G190" t="b">
        <v>0</v>
      </c>
      <c r="H190">
        <v>1</v>
      </c>
      <c r="I190" t="b">
        <v>0</v>
      </c>
      <c r="J190">
        <v>10336.108407556199</v>
      </c>
      <c r="K190">
        <v>60111.768594606801</v>
      </c>
      <c r="L190" s="3">
        <v>5.8157060882470999</v>
      </c>
      <c r="M190">
        <v>3.05</v>
      </c>
      <c r="N190">
        <v>12.88</v>
      </c>
      <c r="O190">
        <v>86.77</v>
      </c>
      <c r="P190" s="8"/>
      <c r="Q190" s="8"/>
    </row>
    <row r="191" spans="1:18" x14ac:dyDescent="0.2">
      <c r="A191" t="s">
        <v>217</v>
      </c>
      <c r="B191">
        <v>1</v>
      </c>
      <c r="C191">
        <v>750</v>
      </c>
      <c r="D191">
        <v>910</v>
      </c>
      <c r="E191">
        <v>1</v>
      </c>
      <c r="F191" t="s">
        <v>15</v>
      </c>
      <c r="G191" t="b">
        <v>0</v>
      </c>
      <c r="H191">
        <v>1</v>
      </c>
      <c r="I191" t="b">
        <v>0</v>
      </c>
      <c r="J191">
        <v>9443.2688828995397</v>
      </c>
      <c r="K191">
        <v>58265.858770061102</v>
      </c>
      <c r="L191" s="3">
        <v>6.1700942218824801</v>
      </c>
      <c r="M191">
        <v>6.92</v>
      </c>
      <c r="N191">
        <v>5.04</v>
      </c>
      <c r="O191">
        <v>36.25</v>
      </c>
      <c r="P191" s="8"/>
      <c r="Q191" s="8"/>
    </row>
    <row r="192" spans="1:18" x14ac:dyDescent="0.2">
      <c r="A192" t="s">
        <v>218</v>
      </c>
      <c r="B192">
        <v>1</v>
      </c>
      <c r="C192">
        <v>750</v>
      </c>
      <c r="D192">
        <v>910</v>
      </c>
      <c r="E192">
        <v>1</v>
      </c>
      <c r="F192" t="s">
        <v>15</v>
      </c>
      <c r="G192" t="b">
        <v>0</v>
      </c>
      <c r="H192">
        <v>1</v>
      </c>
      <c r="I192" t="b">
        <v>0</v>
      </c>
      <c r="J192">
        <v>11594.624006202899</v>
      </c>
      <c r="K192">
        <v>71322.135090574797</v>
      </c>
      <c r="L192" s="3">
        <v>6.1513107326652996</v>
      </c>
      <c r="M192">
        <v>2.61</v>
      </c>
      <c r="N192">
        <v>16.579999999999998</v>
      </c>
      <c r="O192">
        <v>117.28</v>
      </c>
      <c r="P192" s="8"/>
      <c r="Q192" s="8"/>
    </row>
    <row r="193" spans="1:18" x14ac:dyDescent="0.2">
      <c r="A193" t="s">
        <v>219</v>
      </c>
      <c r="B193">
        <v>1</v>
      </c>
      <c r="C193">
        <v>750</v>
      </c>
      <c r="D193">
        <v>910</v>
      </c>
      <c r="E193">
        <v>1</v>
      </c>
      <c r="F193" t="s">
        <v>15</v>
      </c>
      <c r="G193" t="b">
        <v>0</v>
      </c>
      <c r="H193">
        <v>1</v>
      </c>
      <c r="I193" t="b">
        <v>0</v>
      </c>
      <c r="J193">
        <v>9415.4834947726395</v>
      </c>
      <c r="K193">
        <v>59971.262889062898</v>
      </c>
      <c r="L193" s="3">
        <v>6.3694299843824496</v>
      </c>
      <c r="M193">
        <v>2.38</v>
      </c>
      <c r="N193">
        <v>14.95</v>
      </c>
      <c r="O193">
        <v>107.37</v>
      </c>
      <c r="P193" s="8"/>
      <c r="Q193" s="8"/>
    </row>
    <row r="194" spans="1:18" x14ac:dyDescent="0.2">
      <c r="A194" s="1" t="s">
        <v>220</v>
      </c>
      <c r="B194" s="1">
        <v>1</v>
      </c>
      <c r="C194" s="1">
        <v>750</v>
      </c>
      <c r="D194" s="1">
        <v>910</v>
      </c>
      <c r="E194" s="1">
        <v>1</v>
      </c>
      <c r="F194" s="1" t="s">
        <v>15</v>
      </c>
      <c r="G194" s="1" t="b">
        <v>0</v>
      </c>
      <c r="H194" s="1">
        <v>1</v>
      </c>
      <c r="I194" s="1" t="b">
        <v>1</v>
      </c>
      <c r="J194" s="1">
        <v>9142.0603801604393</v>
      </c>
      <c r="K194" s="1">
        <v>55749.9823601436</v>
      </c>
      <c r="L194" s="4">
        <v>6.0981857526481598</v>
      </c>
      <c r="M194" s="1">
        <v>2.21</v>
      </c>
      <c r="N194" s="1">
        <v>15.4</v>
      </c>
      <c r="O194" s="1">
        <v>109.45</v>
      </c>
      <c r="P194" s="9">
        <f>AVERAGE(L189:L194)</f>
        <v>6.147640856160673</v>
      </c>
      <c r="Q194" s="9">
        <f>STDEV(L189:L194)</f>
        <v>0.18981611085666161</v>
      </c>
      <c r="R194">
        <f>COUNTA(O190:O194)</f>
        <v>5</v>
      </c>
    </row>
    <row r="195" spans="1:18" x14ac:dyDescent="0.2">
      <c r="A195" t="s">
        <v>221</v>
      </c>
      <c r="B195">
        <v>1</v>
      </c>
      <c r="C195">
        <v>750</v>
      </c>
      <c r="D195">
        <v>910</v>
      </c>
      <c r="E195">
        <v>1</v>
      </c>
      <c r="F195" t="s">
        <v>15</v>
      </c>
      <c r="G195" t="b">
        <v>0</v>
      </c>
      <c r="H195">
        <v>1</v>
      </c>
      <c r="I195" t="b">
        <v>1</v>
      </c>
      <c r="J195">
        <v>4385.30456910064</v>
      </c>
      <c r="K195">
        <v>24132.3769467087</v>
      </c>
      <c r="L195" s="3">
        <v>5.5030104674480897</v>
      </c>
      <c r="M195">
        <v>1.88</v>
      </c>
      <c r="N195">
        <v>9.14</v>
      </c>
      <c r="O195">
        <v>56.84</v>
      </c>
      <c r="P195" s="8"/>
      <c r="Q195" s="8"/>
    </row>
    <row r="196" spans="1:18" x14ac:dyDescent="0.2">
      <c r="A196" t="s">
        <v>222</v>
      </c>
      <c r="B196">
        <v>1</v>
      </c>
      <c r="C196">
        <v>750</v>
      </c>
      <c r="D196">
        <v>910</v>
      </c>
      <c r="E196">
        <v>1</v>
      </c>
      <c r="F196" t="s">
        <v>15</v>
      </c>
      <c r="G196" t="b">
        <v>0</v>
      </c>
      <c r="H196">
        <v>1</v>
      </c>
      <c r="I196" t="b">
        <v>0</v>
      </c>
      <c r="J196">
        <v>8053.9103822137904</v>
      </c>
      <c r="K196">
        <v>48312.3969349666</v>
      </c>
      <c r="L196" s="3">
        <v>5.9986260887207496</v>
      </c>
      <c r="M196">
        <v>2.0699999999999998</v>
      </c>
      <c r="N196">
        <v>15.11</v>
      </c>
      <c r="O196">
        <v>104.59</v>
      </c>
      <c r="P196" s="8"/>
      <c r="Q196" s="8"/>
    </row>
    <row r="197" spans="1:18" x14ac:dyDescent="0.2">
      <c r="A197" t="s">
        <v>223</v>
      </c>
      <c r="B197">
        <v>1</v>
      </c>
      <c r="C197">
        <v>750</v>
      </c>
      <c r="D197">
        <v>910</v>
      </c>
      <c r="E197">
        <v>1</v>
      </c>
      <c r="F197" t="s">
        <v>15</v>
      </c>
      <c r="G197" t="b">
        <v>0</v>
      </c>
      <c r="H197">
        <v>1</v>
      </c>
      <c r="I197" t="b">
        <v>0</v>
      </c>
      <c r="J197">
        <v>8349.1450274131494</v>
      </c>
      <c r="K197">
        <v>51481.645415024701</v>
      </c>
      <c r="L197" s="3">
        <v>6.1660978754103102</v>
      </c>
      <c r="M197">
        <v>2.0499999999999998</v>
      </c>
      <c r="N197">
        <v>15.38</v>
      </c>
      <c r="O197">
        <v>110.7</v>
      </c>
      <c r="P197" s="8"/>
      <c r="Q197" s="8"/>
    </row>
    <row r="198" spans="1:18" x14ac:dyDescent="0.2">
      <c r="A198" t="s">
        <v>224</v>
      </c>
      <c r="B198">
        <v>1</v>
      </c>
      <c r="C198">
        <v>750</v>
      </c>
      <c r="D198">
        <v>910</v>
      </c>
      <c r="E198">
        <v>1</v>
      </c>
      <c r="F198" t="s">
        <v>15</v>
      </c>
      <c r="G198" t="b">
        <v>0</v>
      </c>
      <c r="H198">
        <v>1</v>
      </c>
      <c r="I198" t="b">
        <v>0</v>
      </c>
      <c r="J198">
        <v>7957.6593705646201</v>
      </c>
      <c r="K198">
        <v>47229.485320984801</v>
      </c>
      <c r="L198" s="3">
        <v>5.93509763633344</v>
      </c>
      <c r="M198">
        <v>2.15</v>
      </c>
      <c r="N198">
        <v>14.33</v>
      </c>
      <c r="O198">
        <v>98.95</v>
      </c>
      <c r="P198" s="8"/>
      <c r="Q198" s="8"/>
    </row>
    <row r="199" spans="1:18" x14ac:dyDescent="0.2">
      <c r="A199" t="s">
        <v>225</v>
      </c>
      <c r="B199">
        <v>1</v>
      </c>
      <c r="C199">
        <v>750</v>
      </c>
      <c r="D199">
        <v>910</v>
      </c>
      <c r="E199">
        <v>1</v>
      </c>
      <c r="F199" t="s">
        <v>15</v>
      </c>
      <c r="G199" t="b">
        <v>0</v>
      </c>
      <c r="H199">
        <v>1</v>
      </c>
      <c r="I199" t="b">
        <v>0</v>
      </c>
      <c r="J199">
        <v>9515.03776087808</v>
      </c>
      <c r="K199">
        <v>57790.651178644701</v>
      </c>
      <c r="L199" s="3">
        <v>6.0736123839945302</v>
      </c>
      <c r="M199">
        <v>2.4700000000000002</v>
      </c>
      <c r="N199">
        <v>15.16</v>
      </c>
      <c r="O199">
        <v>104.53</v>
      </c>
      <c r="P199" s="8"/>
      <c r="Q199" s="8"/>
    </row>
    <row r="200" spans="1:18" x14ac:dyDescent="0.2">
      <c r="A200" t="s">
        <v>226</v>
      </c>
      <c r="B200">
        <v>1</v>
      </c>
      <c r="C200">
        <v>750</v>
      </c>
      <c r="D200">
        <v>910</v>
      </c>
      <c r="E200">
        <v>1</v>
      </c>
      <c r="F200" t="s">
        <v>15</v>
      </c>
      <c r="G200" t="b">
        <v>0</v>
      </c>
      <c r="H200">
        <v>1</v>
      </c>
      <c r="I200" t="b">
        <v>1</v>
      </c>
      <c r="J200">
        <v>11790.111391746799</v>
      </c>
      <c r="K200">
        <v>70611.541107250494</v>
      </c>
      <c r="L200" s="3">
        <v>5.98904783517811</v>
      </c>
      <c r="M200">
        <v>2.6</v>
      </c>
      <c r="N200">
        <v>17.71</v>
      </c>
      <c r="O200">
        <v>123.13</v>
      </c>
      <c r="P200" s="8"/>
      <c r="Q200" s="8"/>
    </row>
    <row r="201" spans="1:18" x14ac:dyDescent="0.2">
      <c r="A201" s="1" t="s">
        <v>227</v>
      </c>
      <c r="B201" s="1">
        <v>1</v>
      </c>
      <c r="C201" s="1">
        <v>750</v>
      </c>
      <c r="D201" s="1">
        <v>910</v>
      </c>
      <c r="E201" s="1">
        <v>1</v>
      </c>
      <c r="F201" s="1" t="s">
        <v>15</v>
      </c>
      <c r="G201" s="1" t="b">
        <v>0</v>
      </c>
      <c r="H201" s="1">
        <v>1</v>
      </c>
      <c r="I201" s="1" t="b">
        <v>0</v>
      </c>
      <c r="J201" s="1">
        <v>15830.487084058601</v>
      </c>
      <c r="K201" s="1">
        <v>89846.374769055707</v>
      </c>
      <c r="L201" s="4">
        <v>5.6755281307503997</v>
      </c>
      <c r="M201" s="1">
        <v>3.16</v>
      </c>
      <c r="N201" s="1">
        <v>19.37</v>
      </c>
      <c r="O201" s="1">
        <v>125.06</v>
      </c>
      <c r="P201" s="9">
        <f>AVERAGE(L195:L201)</f>
        <v>5.905860059690804</v>
      </c>
      <c r="Q201" s="9">
        <f>_xlfn.STDEV.P(L195:L201)</f>
        <v>0.21632836565862951</v>
      </c>
      <c r="R201">
        <f>COUNTA(O195:O201)</f>
        <v>7</v>
      </c>
    </row>
    <row r="202" spans="1:18" x14ac:dyDescent="0.2">
      <c r="A202" t="s">
        <v>228</v>
      </c>
      <c r="B202">
        <v>1</v>
      </c>
      <c r="C202">
        <v>750</v>
      </c>
      <c r="D202">
        <v>910</v>
      </c>
      <c r="E202">
        <v>1</v>
      </c>
      <c r="F202" t="s">
        <v>15</v>
      </c>
      <c r="G202" t="b">
        <v>0</v>
      </c>
      <c r="H202">
        <v>1</v>
      </c>
      <c r="I202" t="b">
        <v>0</v>
      </c>
      <c r="J202">
        <v>7833.2404622306003</v>
      </c>
      <c r="K202">
        <v>48080.213131092802</v>
      </c>
      <c r="L202" s="3">
        <v>6.1379723197468898</v>
      </c>
      <c r="M202">
        <v>2.2599999999999998</v>
      </c>
      <c r="N202">
        <v>13.72</v>
      </c>
      <c r="O202">
        <v>93.87</v>
      </c>
      <c r="P202" s="8"/>
      <c r="Q202" s="8"/>
    </row>
    <row r="203" spans="1:18" x14ac:dyDescent="0.2">
      <c r="A203" t="s">
        <v>229</v>
      </c>
      <c r="B203">
        <v>1</v>
      </c>
      <c r="C203">
        <v>750</v>
      </c>
      <c r="D203">
        <v>910</v>
      </c>
      <c r="E203">
        <v>1</v>
      </c>
      <c r="F203" t="s">
        <v>15</v>
      </c>
      <c r="G203" t="b">
        <v>0</v>
      </c>
      <c r="H203">
        <v>1</v>
      </c>
      <c r="I203" t="b">
        <v>0</v>
      </c>
      <c r="J203">
        <v>7519.3644098157201</v>
      </c>
      <c r="K203">
        <v>46997.718973185103</v>
      </c>
      <c r="L203" s="3">
        <v>6.2502249407988097</v>
      </c>
      <c r="M203">
        <v>2.15</v>
      </c>
      <c r="N203">
        <v>13.3</v>
      </c>
      <c r="O203">
        <v>92.83</v>
      </c>
      <c r="P203" s="8"/>
      <c r="Q203" s="8"/>
    </row>
    <row r="204" spans="1:18" x14ac:dyDescent="0.2">
      <c r="A204" t="s">
        <v>230</v>
      </c>
      <c r="B204">
        <v>1</v>
      </c>
      <c r="C204">
        <v>750</v>
      </c>
      <c r="D204">
        <v>910</v>
      </c>
      <c r="E204">
        <v>1</v>
      </c>
      <c r="F204" t="s">
        <v>15</v>
      </c>
      <c r="G204" t="b">
        <v>0</v>
      </c>
      <c r="H204">
        <v>1</v>
      </c>
      <c r="I204" t="b">
        <v>0</v>
      </c>
      <c r="J204">
        <v>11307.2210817577</v>
      </c>
      <c r="K204">
        <v>64575.330750268899</v>
      </c>
      <c r="L204" s="3">
        <v>5.7109815297102298</v>
      </c>
      <c r="M204">
        <v>2.29</v>
      </c>
      <c r="N204">
        <v>19.21</v>
      </c>
      <c r="O204">
        <v>125.3</v>
      </c>
      <c r="P204" s="8"/>
      <c r="Q204" s="8"/>
    </row>
    <row r="205" spans="1:18" x14ac:dyDescent="0.2">
      <c r="A205" t="s">
        <v>231</v>
      </c>
      <c r="B205">
        <v>1</v>
      </c>
      <c r="C205">
        <v>750</v>
      </c>
      <c r="D205">
        <v>910</v>
      </c>
      <c r="E205">
        <v>1</v>
      </c>
      <c r="F205" t="s">
        <v>15</v>
      </c>
      <c r="G205" t="b">
        <v>0</v>
      </c>
      <c r="H205">
        <v>1</v>
      </c>
      <c r="I205" t="b">
        <v>0</v>
      </c>
      <c r="J205">
        <v>8161.5005976058701</v>
      </c>
      <c r="K205">
        <v>45465.3004816549</v>
      </c>
      <c r="L205" s="3">
        <v>5.5707035658358999</v>
      </c>
      <c r="M205">
        <v>1.89</v>
      </c>
      <c r="N205">
        <v>16.62</v>
      </c>
      <c r="O205">
        <v>106.9</v>
      </c>
      <c r="P205" s="8"/>
      <c r="Q205" s="8"/>
    </row>
    <row r="206" spans="1:18" x14ac:dyDescent="0.2">
      <c r="A206" t="s">
        <v>232</v>
      </c>
      <c r="B206">
        <v>1</v>
      </c>
      <c r="C206">
        <v>750</v>
      </c>
      <c r="D206">
        <v>910</v>
      </c>
      <c r="E206">
        <v>1</v>
      </c>
      <c r="F206" t="s">
        <v>15</v>
      </c>
      <c r="G206" t="b">
        <v>0</v>
      </c>
      <c r="H206">
        <v>1</v>
      </c>
      <c r="I206" t="b">
        <v>0</v>
      </c>
      <c r="J206">
        <v>9444.1595658965998</v>
      </c>
      <c r="K206">
        <v>51441.992528596602</v>
      </c>
      <c r="L206" s="3">
        <v>5.4469635089983699</v>
      </c>
      <c r="M206">
        <v>2.1800000000000002</v>
      </c>
      <c r="N206">
        <v>16.61</v>
      </c>
      <c r="O206">
        <v>105.99</v>
      </c>
      <c r="P206" s="8"/>
      <c r="Q206" s="8"/>
    </row>
    <row r="207" spans="1:18" x14ac:dyDescent="0.2">
      <c r="A207" s="1" t="s">
        <v>233</v>
      </c>
      <c r="B207" s="1">
        <v>1</v>
      </c>
      <c r="C207" s="1">
        <v>750</v>
      </c>
      <c r="D207" s="1">
        <v>910</v>
      </c>
      <c r="E207" s="1">
        <v>1</v>
      </c>
      <c r="F207" s="1" t="s">
        <v>15</v>
      </c>
      <c r="G207" s="1" t="b">
        <v>0</v>
      </c>
      <c r="H207" s="1">
        <v>1</v>
      </c>
      <c r="I207" s="1" t="b">
        <v>0</v>
      </c>
      <c r="J207" s="1">
        <v>9959.0522749455995</v>
      </c>
      <c r="K207" s="1">
        <v>57657.503971547398</v>
      </c>
      <c r="L207" s="4">
        <v>5.78945690611532</v>
      </c>
      <c r="M207" s="1">
        <v>2.29</v>
      </c>
      <c r="N207" s="1">
        <v>17.34</v>
      </c>
      <c r="O207" s="1">
        <v>112.92</v>
      </c>
      <c r="P207" s="9">
        <f>AVERAGE(L195:L207)</f>
        <v>5.8651787068493189</v>
      </c>
      <c r="Q207" s="9">
        <f>STDEV(L202:L207)</f>
        <v>0.31631992347997856</v>
      </c>
      <c r="R207">
        <f>COUNTA(O195:O207)</f>
        <v>13</v>
      </c>
    </row>
    <row r="208" spans="1:18" x14ac:dyDescent="0.2">
      <c r="A208" t="s">
        <v>234</v>
      </c>
      <c r="B208">
        <v>1</v>
      </c>
      <c r="C208">
        <v>750</v>
      </c>
      <c r="D208">
        <v>910</v>
      </c>
      <c r="E208">
        <v>1</v>
      </c>
      <c r="F208" t="s">
        <v>15</v>
      </c>
      <c r="G208" t="b">
        <v>0</v>
      </c>
      <c r="H208">
        <v>1</v>
      </c>
      <c r="I208" t="b">
        <v>1</v>
      </c>
      <c r="J208">
        <v>12734.914403323501</v>
      </c>
      <c r="K208">
        <v>100068.869456892</v>
      </c>
      <c r="L208" s="3">
        <v>7.8578360472353204</v>
      </c>
      <c r="M208">
        <v>2.34</v>
      </c>
      <c r="N208">
        <v>20.25</v>
      </c>
      <c r="O208">
        <v>178.79</v>
      </c>
      <c r="P208" s="8"/>
      <c r="Q208" s="8"/>
    </row>
    <row r="209" spans="1:18" x14ac:dyDescent="0.2">
      <c r="A209" t="s">
        <v>235</v>
      </c>
      <c r="B209">
        <v>1</v>
      </c>
      <c r="C209">
        <v>750</v>
      </c>
      <c r="D209">
        <v>910</v>
      </c>
      <c r="E209">
        <v>1</v>
      </c>
      <c r="F209" t="s">
        <v>15</v>
      </c>
      <c r="G209" t="b">
        <v>0</v>
      </c>
      <c r="H209">
        <v>1</v>
      </c>
      <c r="I209" t="b">
        <v>1</v>
      </c>
      <c r="J209">
        <v>10825.7879270494</v>
      </c>
      <c r="K209">
        <v>86679.918945663405</v>
      </c>
      <c r="L209" s="3">
        <v>8.0068000158292598</v>
      </c>
      <c r="M209">
        <v>2.4300000000000002</v>
      </c>
      <c r="N209">
        <v>16.309999999999999</v>
      </c>
      <c r="O209">
        <v>148.65</v>
      </c>
      <c r="P209" s="8"/>
      <c r="Q209" s="8"/>
    </row>
    <row r="210" spans="1:18" x14ac:dyDescent="0.2">
      <c r="A210" t="s">
        <v>236</v>
      </c>
      <c r="B210">
        <v>1</v>
      </c>
      <c r="C210">
        <v>750</v>
      </c>
      <c r="D210">
        <v>910</v>
      </c>
      <c r="E210">
        <v>1</v>
      </c>
      <c r="F210" t="s">
        <v>15</v>
      </c>
      <c r="G210" t="b">
        <v>0</v>
      </c>
      <c r="H210">
        <v>1</v>
      </c>
      <c r="I210" t="b">
        <v>1</v>
      </c>
      <c r="J210">
        <v>11166.9166196775</v>
      </c>
      <c r="K210">
        <v>90349.330785583399</v>
      </c>
      <c r="L210" s="3">
        <v>8.0908037431188298</v>
      </c>
      <c r="M210">
        <v>3.03</v>
      </c>
      <c r="N210">
        <v>13.56</v>
      </c>
      <c r="O210">
        <v>123.78</v>
      </c>
      <c r="P210" s="8"/>
      <c r="Q210" s="8"/>
    </row>
    <row r="211" spans="1:18" x14ac:dyDescent="0.2">
      <c r="A211" t="s">
        <v>237</v>
      </c>
      <c r="B211">
        <v>1</v>
      </c>
      <c r="C211">
        <v>750</v>
      </c>
      <c r="D211">
        <v>910</v>
      </c>
      <c r="E211">
        <v>1</v>
      </c>
      <c r="F211" t="s">
        <v>15</v>
      </c>
      <c r="G211" t="b">
        <v>0</v>
      </c>
      <c r="H211">
        <v>1</v>
      </c>
      <c r="I211" t="b">
        <v>0</v>
      </c>
      <c r="J211">
        <v>10193.383464516801</v>
      </c>
      <c r="K211">
        <v>86034.973397048001</v>
      </c>
      <c r="L211" s="3">
        <v>8.4402763514720593</v>
      </c>
      <c r="M211">
        <v>3.12</v>
      </c>
      <c r="N211">
        <v>12.03</v>
      </c>
      <c r="O211">
        <v>113.17</v>
      </c>
      <c r="P211" s="8"/>
      <c r="Q211" s="8"/>
    </row>
    <row r="212" spans="1:18" x14ac:dyDescent="0.2">
      <c r="A212" t="s">
        <v>238</v>
      </c>
      <c r="B212">
        <v>1</v>
      </c>
      <c r="C212">
        <v>750</v>
      </c>
      <c r="D212">
        <v>910</v>
      </c>
      <c r="E212">
        <v>1</v>
      </c>
      <c r="F212" t="s">
        <v>15</v>
      </c>
      <c r="G212" t="b">
        <v>0</v>
      </c>
      <c r="H212">
        <v>1</v>
      </c>
      <c r="I212" t="b">
        <v>0</v>
      </c>
      <c r="J212">
        <v>12607.503913885401</v>
      </c>
      <c r="K212">
        <v>100680.26306536001</v>
      </c>
      <c r="L212" s="3">
        <v>7.9857411707384101</v>
      </c>
      <c r="M212">
        <v>3.44</v>
      </c>
      <c r="N212">
        <v>13.56</v>
      </c>
      <c r="O212">
        <v>121.37</v>
      </c>
      <c r="P212" s="8"/>
      <c r="Q212" s="8"/>
    </row>
    <row r="213" spans="1:18" x14ac:dyDescent="0.2">
      <c r="A213" s="1" t="s">
        <v>239</v>
      </c>
      <c r="B213" s="1">
        <v>1</v>
      </c>
      <c r="C213" s="1">
        <v>750</v>
      </c>
      <c r="D213" s="1">
        <v>910</v>
      </c>
      <c r="E213" s="1">
        <v>1</v>
      </c>
      <c r="F213" s="1" t="s">
        <v>15</v>
      </c>
      <c r="G213" s="1" t="b">
        <v>0</v>
      </c>
      <c r="H213" s="1">
        <v>1</v>
      </c>
      <c r="I213" s="1" t="b">
        <v>0</v>
      </c>
      <c r="J213" s="1">
        <v>10435.168332585799</v>
      </c>
      <c r="K213" s="1">
        <v>81206.836888942096</v>
      </c>
      <c r="L213" s="4">
        <v>7.7820342040250097</v>
      </c>
      <c r="M213" s="1">
        <v>4.29</v>
      </c>
      <c r="N213" s="1">
        <v>9.01</v>
      </c>
      <c r="O213" s="1">
        <v>78.64</v>
      </c>
      <c r="P213" s="9">
        <f>AVERAGE(L208:L213)</f>
        <v>8.0272485887364819</v>
      </c>
      <c r="Q213" s="9">
        <f>_xlfn.STDEV.P(L208:L213)</f>
        <v>0.21039760138407704</v>
      </c>
      <c r="R213">
        <f>COUNTA(L208:L213)</f>
        <v>6</v>
      </c>
    </row>
    <row r="214" spans="1:18" x14ac:dyDescent="0.2">
      <c r="A214" t="s">
        <v>240</v>
      </c>
      <c r="B214">
        <v>1</v>
      </c>
      <c r="C214">
        <v>750</v>
      </c>
      <c r="D214">
        <v>910</v>
      </c>
      <c r="E214">
        <v>1</v>
      </c>
      <c r="F214" t="s">
        <v>15</v>
      </c>
      <c r="G214" t="b">
        <v>0</v>
      </c>
      <c r="H214">
        <v>1</v>
      </c>
      <c r="I214" t="b">
        <v>1</v>
      </c>
      <c r="J214">
        <v>9980.0082912673897</v>
      </c>
      <c r="K214">
        <v>77830.799351279304</v>
      </c>
      <c r="L214" s="3">
        <v>7.7986708106627596</v>
      </c>
      <c r="M214">
        <v>2.96</v>
      </c>
      <c r="N214">
        <v>12.35</v>
      </c>
      <c r="O214">
        <v>106.63</v>
      </c>
      <c r="P214" s="8"/>
      <c r="Q214" s="8"/>
    </row>
    <row r="215" spans="1:18" x14ac:dyDescent="0.2">
      <c r="A215" t="s">
        <v>241</v>
      </c>
      <c r="B215">
        <v>1</v>
      </c>
      <c r="C215">
        <v>750</v>
      </c>
      <c r="D215">
        <v>910</v>
      </c>
      <c r="E215">
        <v>1</v>
      </c>
      <c r="F215" t="s">
        <v>15</v>
      </c>
      <c r="G215" t="b">
        <v>0</v>
      </c>
      <c r="H215">
        <v>1</v>
      </c>
      <c r="I215" t="b">
        <v>0</v>
      </c>
      <c r="J215">
        <v>6928.5688614003402</v>
      </c>
      <c r="K215">
        <v>55464.865413959502</v>
      </c>
      <c r="L215" s="3">
        <v>8.0052412732677105</v>
      </c>
      <c r="M215">
        <v>2.81</v>
      </c>
      <c r="N215">
        <v>9.18</v>
      </c>
      <c r="O215">
        <v>83.75</v>
      </c>
      <c r="P215" s="8"/>
      <c r="Q215" s="8"/>
    </row>
    <row r="216" spans="1:18" x14ac:dyDescent="0.2">
      <c r="A216" t="s">
        <v>242</v>
      </c>
      <c r="B216">
        <v>1</v>
      </c>
      <c r="C216">
        <v>750</v>
      </c>
      <c r="D216">
        <v>910</v>
      </c>
      <c r="E216">
        <v>1</v>
      </c>
      <c r="F216" t="s">
        <v>15</v>
      </c>
      <c r="G216" t="b">
        <v>0</v>
      </c>
      <c r="H216">
        <v>1</v>
      </c>
      <c r="I216" t="b">
        <v>0</v>
      </c>
      <c r="J216">
        <v>7779.4301728021501</v>
      </c>
      <c r="K216">
        <v>64918.023396288503</v>
      </c>
      <c r="L216" s="3">
        <v>8.3448301423476892</v>
      </c>
      <c r="M216">
        <v>2.72</v>
      </c>
      <c r="N216">
        <v>10.78</v>
      </c>
      <c r="O216">
        <v>99.36</v>
      </c>
      <c r="P216" s="8"/>
      <c r="Q216" s="8"/>
    </row>
    <row r="217" spans="1:18" x14ac:dyDescent="0.2">
      <c r="A217" t="s">
        <v>243</v>
      </c>
      <c r="B217">
        <v>1</v>
      </c>
      <c r="C217">
        <v>750</v>
      </c>
      <c r="D217">
        <v>910</v>
      </c>
      <c r="E217">
        <v>1</v>
      </c>
      <c r="F217" t="s">
        <v>15</v>
      </c>
      <c r="G217" t="b">
        <v>0</v>
      </c>
      <c r="H217">
        <v>1</v>
      </c>
      <c r="I217" t="b">
        <v>0</v>
      </c>
      <c r="J217">
        <v>9506.0708139147901</v>
      </c>
      <c r="K217">
        <v>75275.026542767897</v>
      </c>
      <c r="L217" s="3">
        <v>7.9186267403543704</v>
      </c>
      <c r="M217">
        <v>2.87</v>
      </c>
      <c r="N217">
        <v>12.41</v>
      </c>
      <c r="O217">
        <v>109.1</v>
      </c>
      <c r="P217" s="8"/>
      <c r="Q217" s="8"/>
    </row>
    <row r="218" spans="1:18" x14ac:dyDescent="0.2">
      <c r="A218" t="s">
        <v>244</v>
      </c>
      <c r="B218">
        <v>1</v>
      </c>
      <c r="C218">
        <v>750</v>
      </c>
      <c r="D218">
        <v>910</v>
      </c>
      <c r="E218">
        <v>1</v>
      </c>
      <c r="F218" t="s">
        <v>15</v>
      </c>
      <c r="G218" t="b">
        <v>0</v>
      </c>
      <c r="H218">
        <v>1</v>
      </c>
      <c r="I218" t="b">
        <v>0</v>
      </c>
      <c r="J218">
        <v>7891.3166157460701</v>
      </c>
      <c r="K218">
        <v>59573.492260171297</v>
      </c>
      <c r="L218" s="3">
        <v>7.5492462362111299</v>
      </c>
      <c r="M218">
        <v>2.71</v>
      </c>
      <c r="N218">
        <v>10.83</v>
      </c>
      <c r="O218">
        <v>92.03</v>
      </c>
      <c r="P218" s="8"/>
      <c r="Q218" s="8"/>
    </row>
    <row r="219" spans="1:18" x14ac:dyDescent="0.2">
      <c r="A219" s="1" t="s">
        <v>245</v>
      </c>
      <c r="B219" s="1">
        <v>1</v>
      </c>
      <c r="C219" s="1">
        <v>750</v>
      </c>
      <c r="D219" s="1">
        <v>910</v>
      </c>
      <c r="E219" s="1">
        <v>1</v>
      </c>
      <c r="F219" s="1" t="s">
        <v>15</v>
      </c>
      <c r="G219" s="1" t="b">
        <v>0</v>
      </c>
      <c r="H219" s="1">
        <v>1</v>
      </c>
      <c r="I219" s="1" t="b">
        <v>1</v>
      </c>
      <c r="J219" s="1">
        <v>8788.3739818696395</v>
      </c>
      <c r="K219" s="1">
        <v>66979.842008022897</v>
      </c>
      <c r="L219" s="4">
        <v>7.6214146264373603</v>
      </c>
      <c r="M219" s="1">
        <v>5.79</v>
      </c>
      <c r="N219" s="1">
        <v>5.79</v>
      </c>
      <c r="O219" s="1">
        <v>48.34</v>
      </c>
      <c r="P219" s="9">
        <f>AVERAGE(L214:L219)</f>
        <v>7.8730049715468367</v>
      </c>
      <c r="Q219" s="9">
        <f>STDEV(L214:L219)</f>
        <v>0.28838507763614163</v>
      </c>
      <c r="R219">
        <f>COUNTA(L214:L219)</f>
        <v>6</v>
      </c>
    </row>
    <row r="220" spans="1:18" x14ac:dyDescent="0.2">
      <c r="A220" t="s">
        <v>246</v>
      </c>
      <c r="B220">
        <v>1</v>
      </c>
      <c r="C220">
        <v>750</v>
      </c>
      <c r="D220">
        <v>910</v>
      </c>
      <c r="E220">
        <v>1</v>
      </c>
      <c r="F220" t="s">
        <v>15</v>
      </c>
      <c r="G220" t="b">
        <v>0</v>
      </c>
      <c r="H220">
        <v>1</v>
      </c>
      <c r="I220" t="b">
        <v>0</v>
      </c>
      <c r="J220">
        <v>10437.5988426363</v>
      </c>
      <c r="K220">
        <v>46791.913979411402</v>
      </c>
      <c r="L220" s="3">
        <v>4.4830151728261702</v>
      </c>
      <c r="M220">
        <v>3.96</v>
      </c>
      <c r="N220">
        <v>10.16</v>
      </c>
      <c r="O220">
        <v>54.05</v>
      </c>
      <c r="P220" s="8"/>
      <c r="Q220" s="8"/>
    </row>
    <row r="221" spans="1:18" x14ac:dyDescent="0.2">
      <c r="A221" t="s">
        <v>247</v>
      </c>
      <c r="B221">
        <v>1</v>
      </c>
      <c r="C221">
        <v>750</v>
      </c>
      <c r="D221">
        <v>910</v>
      </c>
      <c r="E221">
        <v>1</v>
      </c>
      <c r="F221" t="s">
        <v>15</v>
      </c>
      <c r="G221" t="b">
        <v>0</v>
      </c>
      <c r="H221">
        <v>1</v>
      </c>
      <c r="I221" t="b">
        <v>0</v>
      </c>
      <c r="J221">
        <v>10623.899783300199</v>
      </c>
      <c r="K221">
        <v>47078.485593058402</v>
      </c>
      <c r="L221" s="3">
        <v>4.4313751591540003</v>
      </c>
      <c r="M221">
        <v>2.64</v>
      </c>
      <c r="N221">
        <v>16.3</v>
      </c>
      <c r="O221">
        <v>77.52</v>
      </c>
      <c r="P221" s="8"/>
      <c r="Q221" s="8"/>
    </row>
    <row r="222" spans="1:18" x14ac:dyDescent="0.2">
      <c r="A222" t="s">
        <v>248</v>
      </c>
      <c r="B222">
        <v>1</v>
      </c>
      <c r="C222">
        <v>750</v>
      </c>
      <c r="D222">
        <v>910</v>
      </c>
      <c r="E222">
        <v>1</v>
      </c>
      <c r="F222" t="s">
        <v>15</v>
      </c>
      <c r="G222" t="b">
        <v>0</v>
      </c>
      <c r="H222">
        <v>1</v>
      </c>
      <c r="I222" t="b">
        <v>0</v>
      </c>
      <c r="J222">
        <v>9859.3044147461897</v>
      </c>
      <c r="K222">
        <v>43342.8191763176</v>
      </c>
      <c r="L222" s="3">
        <v>4.3961335762684604</v>
      </c>
      <c r="M222">
        <v>2.4500000000000002</v>
      </c>
      <c r="N222">
        <v>16.23</v>
      </c>
      <c r="O222">
        <v>82.78</v>
      </c>
      <c r="P222" s="8"/>
      <c r="Q222" s="8"/>
    </row>
    <row r="223" spans="1:18" x14ac:dyDescent="0.2">
      <c r="A223" t="s">
        <v>249</v>
      </c>
      <c r="B223">
        <v>1</v>
      </c>
      <c r="C223">
        <v>750</v>
      </c>
      <c r="D223">
        <v>910</v>
      </c>
      <c r="E223">
        <v>1</v>
      </c>
      <c r="F223" t="s">
        <v>15</v>
      </c>
      <c r="G223" t="b">
        <v>0</v>
      </c>
      <c r="H223">
        <v>1</v>
      </c>
      <c r="I223" t="b">
        <v>0</v>
      </c>
      <c r="J223">
        <v>13277.631243432599</v>
      </c>
      <c r="K223">
        <v>57315.545739362198</v>
      </c>
      <c r="L223" s="3">
        <v>4.3166996197240497</v>
      </c>
      <c r="M223">
        <v>2.72</v>
      </c>
      <c r="N223">
        <v>18.97</v>
      </c>
      <c r="O223">
        <v>94.7</v>
      </c>
      <c r="P223" s="8"/>
      <c r="Q223" s="8"/>
    </row>
    <row r="224" spans="1:18" x14ac:dyDescent="0.2">
      <c r="A224" t="s">
        <v>250</v>
      </c>
      <c r="B224">
        <v>1</v>
      </c>
      <c r="C224">
        <v>750</v>
      </c>
      <c r="D224">
        <v>910</v>
      </c>
      <c r="E224">
        <v>1</v>
      </c>
      <c r="F224" t="s">
        <v>15</v>
      </c>
      <c r="G224" t="b">
        <v>0</v>
      </c>
      <c r="H224">
        <v>1</v>
      </c>
      <c r="I224" t="b">
        <v>0</v>
      </c>
      <c r="J224">
        <v>11246.7527543545</v>
      </c>
      <c r="K224">
        <v>43094.978459876598</v>
      </c>
      <c r="L224" s="3">
        <v>3.83177076985096</v>
      </c>
      <c r="M224">
        <v>2.65</v>
      </c>
      <c r="N224">
        <v>17.170000000000002</v>
      </c>
      <c r="O224">
        <v>83.13</v>
      </c>
      <c r="P224" s="8"/>
      <c r="Q224" s="8"/>
    </row>
    <row r="225" spans="1:18" x14ac:dyDescent="0.2">
      <c r="A225" t="s">
        <v>251</v>
      </c>
      <c r="B225">
        <v>1</v>
      </c>
      <c r="C225">
        <v>750</v>
      </c>
      <c r="D225">
        <v>910</v>
      </c>
      <c r="E225">
        <v>1</v>
      </c>
      <c r="F225" t="s">
        <v>15</v>
      </c>
      <c r="G225" t="b">
        <v>0</v>
      </c>
      <c r="H225">
        <v>1</v>
      </c>
      <c r="I225" t="b">
        <v>0</v>
      </c>
      <c r="J225">
        <v>11231.2586048704</v>
      </c>
      <c r="K225">
        <v>40621.3847121</v>
      </c>
      <c r="L225" s="3">
        <v>3.6168150107846602</v>
      </c>
      <c r="M225">
        <v>4.75</v>
      </c>
      <c r="N225">
        <v>9.0500000000000007</v>
      </c>
      <c r="O225">
        <v>40.94</v>
      </c>
      <c r="P225" s="8"/>
      <c r="Q225" s="8"/>
    </row>
    <row r="226" spans="1:18" x14ac:dyDescent="0.2">
      <c r="A226" s="1" t="s">
        <v>252</v>
      </c>
      <c r="B226" s="1">
        <v>1</v>
      </c>
      <c r="C226" s="1">
        <v>750</v>
      </c>
      <c r="D226" s="1">
        <v>910</v>
      </c>
      <c r="E226" s="1">
        <v>1</v>
      </c>
      <c r="F226" s="1" t="s">
        <v>15</v>
      </c>
      <c r="G226" s="1" t="b">
        <v>0</v>
      </c>
      <c r="H226" s="1">
        <v>1</v>
      </c>
      <c r="I226" s="1" t="b">
        <v>0</v>
      </c>
      <c r="J226" s="1">
        <v>11054.667404883099</v>
      </c>
      <c r="K226" s="1">
        <v>50047.801874376302</v>
      </c>
      <c r="L226" s="4">
        <v>4.5273005547203198</v>
      </c>
      <c r="M226" s="1">
        <v>2.34</v>
      </c>
      <c r="N226" s="1">
        <v>18.41</v>
      </c>
      <c r="O226" s="1">
        <v>100.08</v>
      </c>
      <c r="P226" s="9">
        <f>AVERAGE(L220:L226)</f>
        <v>4.2290156947612312</v>
      </c>
      <c r="Q226" s="9">
        <f>STDEV(L220:L226)</f>
        <v>0.356522325203743</v>
      </c>
      <c r="R226">
        <f>COUNTA(L220:L226)</f>
        <v>7</v>
      </c>
    </row>
    <row r="227" spans="1:18" x14ac:dyDescent="0.2">
      <c r="A227" t="s">
        <v>253</v>
      </c>
      <c r="B227">
        <v>1</v>
      </c>
      <c r="C227">
        <v>750</v>
      </c>
      <c r="D227">
        <v>910</v>
      </c>
      <c r="E227">
        <v>1</v>
      </c>
      <c r="F227" t="s">
        <v>15</v>
      </c>
      <c r="G227" t="b">
        <v>0</v>
      </c>
      <c r="H227">
        <v>1</v>
      </c>
      <c r="I227" t="b">
        <v>1</v>
      </c>
      <c r="J227">
        <v>11918.3931626843</v>
      </c>
      <c r="K227">
        <v>55257.299292245203</v>
      </c>
      <c r="L227" s="3">
        <v>4.6363044529569502</v>
      </c>
      <c r="M227">
        <v>4.8600000000000003</v>
      </c>
      <c r="N227">
        <v>8.9600000000000009</v>
      </c>
      <c r="O227">
        <v>51.23</v>
      </c>
      <c r="P227" s="8"/>
      <c r="Q227" s="8"/>
    </row>
    <row r="228" spans="1:18" x14ac:dyDescent="0.2">
      <c r="A228" t="s">
        <v>254</v>
      </c>
      <c r="B228">
        <v>1</v>
      </c>
      <c r="C228">
        <v>750</v>
      </c>
      <c r="D228">
        <v>910</v>
      </c>
      <c r="E228">
        <v>1</v>
      </c>
      <c r="F228" t="s">
        <v>15</v>
      </c>
      <c r="G228" t="b">
        <v>0</v>
      </c>
      <c r="H228">
        <v>1</v>
      </c>
      <c r="I228" t="b">
        <v>1</v>
      </c>
      <c r="J228">
        <v>11755.8961835025</v>
      </c>
      <c r="K228">
        <v>50873.239302389004</v>
      </c>
      <c r="L228" s="3">
        <v>4.32746585273365</v>
      </c>
      <c r="M228">
        <v>5.5</v>
      </c>
      <c r="N228">
        <v>7.87</v>
      </c>
      <c r="O228">
        <v>41.32</v>
      </c>
      <c r="P228" s="8"/>
      <c r="Q228" s="8"/>
    </row>
    <row r="229" spans="1:18" x14ac:dyDescent="0.2">
      <c r="A229" t="s">
        <v>255</v>
      </c>
      <c r="B229">
        <v>1</v>
      </c>
      <c r="C229">
        <v>750</v>
      </c>
      <c r="D229">
        <v>910</v>
      </c>
      <c r="E229">
        <v>1</v>
      </c>
      <c r="F229" t="s">
        <v>15</v>
      </c>
      <c r="G229" t="b">
        <v>0</v>
      </c>
      <c r="H229">
        <v>1</v>
      </c>
      <c r="I229" t="b">
        <v>0</v>
      </c>
      <c r="J229">
        <v>11125.946563078</v>
      </c>
      <c r="K229">
        <v>50646.100112014901</v>
      </c>
      <c r="L229" s="3">
        <v>4.5520711271512297</v>
      </c>
      <c r="M229">
        <v>2.56</v>
      </c>
      <c r="N229">
        <v>16.22</v>
      </c>
      <c r="O229">
        <v>89.83</v>
      </c>
      <c r="P229" s="8"/>
      <c r="Q229" s="8"/>
    </row>
    <row r="230" spans="1:18" x14ac:dyDescent="0.2">
      <c r="A230" t="s">
        <v>256</v>
      </c>
      <c r="B230">
        <v>1</v>
      </c>
      <c r="C230">
        <v>750</v>
      </c>
      <c r="D230">
        <v>910</v>
      </c>
      <c r="E230">
        <v>1</v>
      </c>
      <c r="F230" t="s">
        <v>15</v>
      </c>
      <c r="G230" t="b">
        <v>0</v>
      </c>
      <c r="H230">
        <v>1</v>
      </c>
      <c r="I230" t="b">
        <v>0</v>
      </c>
      <c r="J230">
        <v>11249.668532149501</v>
      </c>
      <c r="K230">
        <v>51189.989340834902</v>
      </c>
      <c r="L230" s="3">
        <v>4.5503553455413401</v>
      </c>
      <c r="M230">
        <v>2.94</v>
      </c>
      <c r="N230">
        <v>14.38</v>
      </c>
      <c r="O230">
        <v>77.09</v>
      </c>
      <c r="P230" s="8"/>
      <c r="Q230" s="8"/>
    </row>
    <row r="231" spans="1:18" x14ac:dyDescent="0.2">
      <c r="A231" t="s">
        <v>257</v>
      </c>
      <c r="B231">
        <v>1</v>
      </c>
      <c r="C231">
        <v>750</v>
      </c>
      <c r="D231">
        <v>910</v>
      </c>
      <c r="E231">
        <v>1</v>
      </c>
      <c r="F231" t="s">
        <v>15</v>
      </c>
      <c r="G231" t="b">
        <v>0</v>
      </c>
      <c r="H231">
        <v>1</v>
      </c>
      <c r="I231" t="b">
        <v>0</v>
      </c>
      <c r="J231">
        <v>9798.7557790570809</v>
      </c>
      <c r="K231">
        <v>44208.420089788699</v>
      </c>
      <c r="L231" s="3">
        <v>4.5116360777432103</v>
      </c>
      <c r="M231">
        <v>2.34</v>
      </c>
      <c r="N231">
        <v>15.46</v>
      </c>
      <c r="O231">
        <v>84.52</v>
      </c>
      <c r="P231" s="8"/>
      <c r="Q231" s="8"/>
    </row>
    <row r="232" spans="1:18" x14ac:dyDescent="0.2">
      <c r="A232" s="1" t="s">
        <v>258</v>
      </c>
      <c r="B232" s="1">
        <v>1</v>
      </c>
      <c r="C232" s="1">
        <v>750</v>
      </c>
      <c r="D232" s="1">
        <v>910</v>
      </c>
      <c r="E232" s="1">
        <v>1</v>
      </c>
      <c r="F232" s="1" t="s">
        <v>15</v>
      </c>
      <c r="G232" s="1" t="b">
        <v>0</v>
      </c>
      <c r="H232" s="1">
        <v>1</v>
      </c>
      <c r="I232" s="1" t="b">
        <v>0</v>
      </c>
      <c r="J232" s="1">
        <v>10925.241236710101</v>
      </c>
      <c r="K232" s="1">
        <v>52503.7115041707</v>
      </c>
      <c r="L232" s="4">
        <v>4.80572560061667</v>
      </c>
      <c r="M232" s="1">
        <v>4.7300000000000004</v>
      </c>
      <c r="N232" s="1">
        <v>8.33</v>
      </c>
      <c r="O232" s="1">
        <v>46.89</v>
      </c>
      <c r="P232" s="9">
        <f>AVERAGE(L227:L232)</f>
        <v>4.5639264094571743</v>
      </c>
      <c r="Q232" s="9">
        <f>STDEV(L227:L232)</f>
        <v>0.15663845325931849</v>
      </c>
      <c r="R232">
        <f>COUNTA(L227:L232)</f>
        <v>6</v>
      </c>
    </row>
    <row r="233" spans="1:18" x14ac:dyDescent="0.2">
      <c r="A233" t="s">
        <v>259</v>
      </c>
      <c r="B233">
        <v>1</v>
      </c>
      <c r="C233">
        <v>750</v>
      </c>
      <c r="D233">
        <v>910</v>
      </c>
      <c r="E233">
        <v>1</v>
      </c>
      <c r="F233" t="s">
        <v>15</v>
      </c>
      <c r="G233" t="b">
        <v>0</v>
      </c>
      <c r="H233">
        <v>1</v>
      </c>
      <c r="I233" t="b">
        <v>0</v>
      </c>
      <c r="J233">
        <v>10299.9935568773</v>
      </c>
      <c r="K233">
        <v>49707.415326517403</v>
      </c>
      <c r="L233" s="3">
        <v>4.82596567192292</v>
      </c>
      <c r="M233">
        <v>2.29</v>
      </c>
      <c r="N233">
        <v>17.61</v>
      </c>
      <c r="O233">
        <v>98.62</v>
      </c>
      <c r="P233" s="8"/>
      <c r="Q233" s="8"/>
    </row>
    <row r="234" spans="1:18" x14ac:dyDescent="0.2">
      <c r="A234" t="s">
        <v>260</v>
      </c>
      <c r="B234">
        <v>1</v>
      </c>
      <c r="C234">
        <v>750</v>
      </c>
      <c r="D234">
        <v>910</v>
      </c>
      <c r="E234">
        <v>1</v>
      </c>
      <c r="F234" t="s">
        <v>15</v>
      </c>
      <c r="G234" t="b">
        <v>0</v>
      </c>
      <c r="H234">
        <v>1</v>
      </c>
      <c r="I234" t="b">
        <v>0</v>
      </c>
      <c r="J234">
        <v>9885.5437480356304</v>
      </c>
      <c r="K234">
        <v>46609.063238153598</v>
      </c>
      <c r="L234" s="3">
        <v>4.7148709697850801</v>
      </c>
      <c r="M234">
        <v>2.08</v>
      </c>
      <c r="N234">
        <v>19.13</v>
      </c>
      <c r="O234">
        <v>104.35</v>
      </c>
      <c r="P234" s="8"/>
      <c r="Q234" s="8"/>
    </row>
    <row r="235" spans="1:18" x14ac:dyDescent="0.2">
      <c r="A235" t="s">
        <v>261</v>
      </c>
      <c r="B235">
        <v>1</v>
      </c>
      <c r="C235">
        <v>750</v>
      </c>
      <c r="D235">
        <v>910</v>
      </c>
      <c r="E235">
        <v>1</v>
      </c>
      <c r="F235" t="s">
        <v>15</v>
      </c>
      <c r="G235" t="b">
        <v>0</v>
      </c>
      <c r="H235">
        <v>1</v>
      </c>
      <c r="I235" t="b">
        <v>0</v>
      </c>
      <c r="J235">
        <v>11211.930277351499</v>
      </c>
      <c r="K235">
        <v>57344.6554896569</v>
      </c>
      <c r="L235" s="3">
        <v>5.1146104257796603</v>
      </c>
      <c r="M235">
        <v>3.02</v>
      </c>
      <c r="N235">
        <v>14.98</v>
      </c>
      <c r="O235">
        <v>81.99</v>
      </c>
      <c r="P235" s="8"/>
      <c r="Q235" s="8"/>
    </row>
    <row r="236" spans="1:18" x14ac:dyDescent="0.2">
      <c r="A236" t="s">
        <v>262</v>
      </c>
      <c r="B236">
        <v>1</v>
      </c>
      <c r="C236">
        <v>750</v>
      </c>
      <c r="D236">
        <v>910</v>
      </c>
      <c r="E236">
        <v>1</v>
      </c>
      <c r="F236" t="s">
        <v>15</v>
      </c>
      <c r="G236" t="b">
        <v>0</v>
      </c>
      <c r="H236">
        <v>1</v>
      </c>
      <c r="I236" t="b">
        <v>0</v>
      </c>
      <c r="J236">
        <v>10714.5812127438</v>
      </c>
      <c r="K236">
        <v>51766.4028401662</v>
      </c>
      <c r="L236" s="3">
        <v>4.8313976824960401</v>
      </c>
      <c r="M236">
        <v>2.54</v>
      </c>
      <c r="N236">
        <v>16.600000000000001</v>
      </c>
      <c r="O236">
        <v>93.98</v>
      </c>
      <c r="P236" s="8"/>
      <c r="Q236" s="8"/>
    </row>
    <row r="237" spans="1:18" x14ac:dyDescent="0.2">
      <c r="A237" t="s">
        <v>263</v>
      </c>
      <c r="B237">
        <v>1</v>
      </c>
      <c r="C237">
        <v>750</v>
      </c>
      <c r="D237">
        <v>910</v>
      </c>
      <c r="E237">
        <v>1</v>
      </c>
      <c r="F237" t="s">
        <v>15</v>
      </c>
      <c r="G237" t="b">
        <v>0</v>
      </c>
      <c r="H237">
        <v>1</v>
      </c>
      <c r="I237" t="b">
        <v>0</v>
      </c>
      <c r="J237">
        <v>8867.9781889822498</v>
      </c>
      <c r="K237">
        <v>44021.512342585702</v>
      </c>
      <c r="L237" s="3">
        <v>4.9640979493250104</v>
      </c>
      <c r="M237">
        <v>2.46</v>
      </c>
      <c r="N237">
        <v>14.52</v>
      </c>
      <c r="O237">
        <v>82.13</v>
      </c>
      <c r="P237" s="8"/>
      <c r="Q237" s="8"/>
    </row>
    <row r="238" spans="1:18" x14ac:dyDescent="0.2">
      <c r="A238" s="1" t="s">
        <v>264</v>
      </c>
      <c r="B238" s="1">
        <v>1</v>
      </c>
      <c r="C238" s="1">
        <v>750</v>
      </c>
      <c r="D238" s="1">
        <v>910</v>
      </c>
      <c r="E238" s="1">
        <v>1</v>
      </c>
      <c r="F238" s="1" t="s">
        <v>15</v>
      </c>
      <c r="G238" s="1" t="b">
        <v>0</v>
      </c>
      <c r="H238" s="1">
        <v>1</v>
      </c>
      <c r="I238" s="1" t="b">
        <v>0</v>
      </c>
      <c r="J238" s="1">
        <v>12244.775173542201</v>
      </c>
      <c r="K238" s="1">
        <v>53978.908967256801</v>
      </c>
      <c r="L238" s="4">
        <v>4.4083217700796302</v>
      </c>
      <c r="M238" s="1">
        <v>2.4</v>
      </c>
      <c r="N238" s="1">
        <v>19.579999999999998</v>
      </c>
      <c r="O238" s="1">
        <v>103.95</v>
      </c>
      <c r="P238" s="9">
        <f>AVERAGE(L233:L238)</f>
        <v>4.8098774115647238</v>
      </c>
      <c r="Q238" s="9">
        <f>STDEV(L233:L238)</f>
        <v>0.23985049326196384</v>
      </c>
      <c r="R238">
        <f>COUNTA(L233:L238)</f>
        <v>6</v>
      </c>
    </row>
    <row r="239" spans="1:18" x14ac:dyDescent="0.2">
      <c r="A239" t="s">
        <v>265</v>
      </c>
      <c r="B239">
        <v>1</v>
      </c>
      <c r="C239">
        <v>750</v>
      </c>
      <c r="D239">
        <v>910</v>
      </c>
      <c r="E239">
        <v>1</v>
      </c>
      <c r="F239" t="s">
        <v>15</v>
      </c>
      <c r="G239" t="b">
        <v>0</v>
      </c>
      <c r="H239">
        <v>1</v>
      </c>
      <c r="I239" t="b">
        <v>0</v>
      </c>
      <c r="J239">
        <v>12821.9468301874</v>
      </c>
      <c r="K239">
        <v>66765.578959228107</v>
      </c>
      <c r="L239" s="3">
        <v>5.2071327266806202</v>
      </c>
      <c r="M239">
        <v>3.16</v>
      </c>
      <c r="N239">
        <v>14.56</v>
      </c>
      <c r="O239">
        <v>91.25</v>
      </c>
      <c r="P239" s="8"/>
      <c r="Q239" s="8"/>
    </row>
    <row r="240" spans="1:18" x14ac:dyDescent="0.2">
      <c r="A240" t="s">
        <v>266</v>
      </c>
      <c r="B240">
        <v>1</v>
      </c>
      <c r="C240">
        <v>750</v>
      </c>
      <c r="D240">
        <v>910</v>
      </c>
      <c r="E240">
        <v>1</v>
      </c>
      <c r="F240" t="s">
        <v>15</v>
      </c>
      <c r="G240" t="b">
        <v>0</v>
      </c>
      <c r="H240">
        <v>1</v>
      </c>
      <c r="I240" t="b">
        <v>0</v>
      </c>
      <c r="J240">
        <v>9903.0647487698498</v>
      </c>
      <c r="K240">
        <v>55761.035848835098</v>
      </c>
      <c r="L240" s="3">
        <v>5.6306847691530697</v>
      </c>
      <c r="M240">
        <v>2.25</v>
      </c>
      <c r="N240">
        <v>16.940000000000001</v>
      </c>
      <c r="O240">
        <v>110.32</v>
      </c>
      <c r="P240" s="8"/>
      <c r="Q240" s="8"/>
    </row>
    <row r="241" spans="1:18" x14ac:dyDescent="0.2">
      <c r="A241" t="s">
        <v>267</v>
      </c>
      <c r="B241">
        <v>1</v>
      </c>
      <c r="C241">
        <v>750</v>
      </c>
      <c r="D241">
        <v>910</v>
      </c>
      <c r="E241">
        <v>1</v>
      </c>
      <c r="F241" t="s">
        <v>15</v>
      </c>
      <c r="G241" t="b">
        <v>0</v>
      </c>
      <c r="H241">
        <v>1</v>
      </c>
      <c r="I241" t="b">
        <v>0</v>
      </c>
      <c r="J241">
        <v>9081.7467549748308</v>
      </c>
      <c r="K241">
        <v>50164.908003261298</v>
      </c>
      <c r="L241" s="3">
        <v>5.52370698685049</v>
      </c>
      <c r="M241">
        <v>2.2400000000000002</v>
      </c>
      <c r="N241">
        <v>15.34</v>
      </c>
      <c r="O241">
        <v>101.3</v>
      </c>
      <c r="P241" s="8"/>
      <c r="Q241" s="8"/>
    </row>
    <row r="242" spans="1:18" x14ac:dyDescent="0.2">
      <c r="A242" t="s">
        <v>268</v>
      </c>
      <c r="B242">
        <v>1</v>
      </c>
      <c r="C242">
        <v>750</v>
      </c>
      <c r="D242">
        <v>910</v>
      </c>
      <c r="E242">
        <v>1</v>
      </c>
      <c r="F242" t="s">
        <v>15</v>
      </c>
      <c r="G242" t="b">
        <v>0</v>
      </c>
      <c r="H242">
        <v>1</v>
      </c>
      <c r="I242" t="b">
        <v>0</v>
      </c>
      <c r="J242">
        <v>9070.5058219971306</v>
      </c>
      <c r="K242">
        <v>54531.0424689223</v>
      </c>
      <c r="L242" s="3">
        <v>6.0119075538960098</v>
      </c>
      <c r="M242">
        <v>2.11</v>
      </c>
      <c r="N242">
        <v>16.54</v>
      </c>
      <c r="O242">
        <v>111.54</v>
      </c>
      <c r="P242" s="8"/>
      <c r="Q242" s="8"/>
    </row>
    <row r="243" spans="1:18" x14ac:dyDescent="0.2">
      <c r="A243" t="s">
        <v>269</v>
      </c>
      <c r="B243">
        <v>1</v>
      </c>
      <c r="C243">
        <v>750</v>
      </c>
      <c r="D243">
        <v>910</v>
      </c>
      <c r="E243">
        <v>1</v>
      </c>
      <c r="F243" t="s">
        <v>15</v>
      </c>
      <c r="G243" t="b">
        <v>0</v>
      </c>
      <c r="H243">
        <v>1</v>
      </c>
      <c r="I243" t="b">
        <v>0</v>
      </c>
      <c r="J243">
        <v>9363.8726207534492</v>
      </c>
      <c r="K243">
        <v>53849.952876378396</v>
      </c>
      <c r="L243" s="3">
        <v>5.7508207402382796</v>
      </c>
      <c r="M243">
        <v>1.98</v>
      </c>
      <c r="N243">
        <v>17.98</v>
      </c>
      <c r="O243">
        <v>118.62</v>
      </c>
      <c r="P243" s="8"/>
      <c r="Q243" s="8"/>
    </row>
    <row r="244" spans="1:18" x14ac:dyDescent="0.2">
      <c r="A244" s="1" t="s">
        <v>270</v>
      </c>
      <c r="B244" s="1">
        <v>1</v>
      </c>
      <c r="C244" s="1">
        <v>750</v>
      </c>
      <c r="D244" s="1">
        <v>910</v>
      </c>
      <c r="E244" s="1">
        <v>1</v>
      </c>
      <c r="F244" s="1" t="s">
        <v>15</v>
      </c>
      <c r="G244" s="1" t="b">
        <v>0</v>
      </c>
      <c r="H244" s="1">
        <v>1</v>
      </c>
      <c r="I244" s="1" t="b">
        <v>0</v>
      </c>
      <c r="J244" s="1">
        <v>8150.5942595349297</v>
      </c>
      <c r="K244" s="1">
        <v>48956.779413338103</v>
      </c>
      <c r="L244" s="4">
        <v>6.0065288314488603</v>
      </c>
      <c r="M244" s="1">
        <v>1.87</v>
      </c>
      <c r="N244" s="1">
        <v>16.32</v>
      </c>
      <c r="O244" s="1">
        <v>115.8</v>
      </c>
      <c r="P244" s="9">
        <f>AVERAGE(L239:L244)</f>
        <v>5.6884636013778875</v>
      </c>
      <c r="Q244" s="9">
        <f>STDEV(L239:L244)</f>
        <v>0.30719128900023512</v>
      </c>
      <c r="R244">
        <f>COUNTA(L239:L244)</f>
        <v>6</v>
      </c>
    </row>
    <row r="246" spans="1:18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4"/>
      <c r="M246" s="1"/>
      <c r="N246" s="1"/>
      <c r="O246" s="1"/>
      <c r="P246" s="1"/>
      <c r="Q246" s="1"/>
    </row>
    <row r="247" spans="1:18" x14ac:dyDescent="0.2">
      <c r="A247" t="s">
        <v>271</v>
      </c>
      <c r="B247">
        <v>1</v>
      </c>
      <c r="C247">
        <v>750</v>
      </c>
      <c r="D247">
        <v>910</v>
      </c>
      <c r="E247">
        <v>1</v>
      </c>
      <c r="F247" t="s">
        <v>15</v>
      </c>
      <c r="G247" t="b">
        <v>0</v>
      </c>
      <c r="H247">
        <v>1</v>
      </c>
      <c r="I247" t="b">
        <v>0</v>
      </c>
      <c r="J247">
        <v>23255.862770920001</v>
      </c>
      <c r="K247">
        <v>39758.087368852197</v>
      </c>
      <c r="L247" s="3">
        <v>1.7095941681667901</v>
      </c>
      <c r="M247">
        <v>3.17</v>
      </c>
      <c r="N247">
        <v>21.93</v>
      </c>
      <c r="O247">
        <v>54.85</v>
      </c>
    </row>
    <row r="248" spans="1:18" x14ac:dyDescent="0.2">
      <c r="A248" t="s">
        <v>272</v>
      </c>
      <c r="B248">
        <v>1</v>
      </c>
      <c r="C248">
        <v>750</v>
      </c>
      <c r="D248">
        <v>910</v>
      </c>
      <c r="E248">
        <v>1</v>
      </c>
      <c r="F248" t="s">
        <v>15</v>
      </c>
      <c r="G248" t="b">
        <v>0</v>
      </c>
      <c r="H248">
        <v>1</v>
      </c>
      <c r="I248" t="b">
        <v>0</v>
      </c>
      <c r="J248">
        <v>20482.182319580599</v>
      </c>
      <c r="K248">
        <v>36759.069165664499</v>
      </c>
      <c r="L248" s="3">
        <v>1.7946851850119201</v>
      </c>
      <c r="M248">
        <v>3.06</v>
      </c>
      <c r="N248">
        <v>19.5</v>
      </c>
      <c r="O248">
        <v>52.62</v>
      </c>
    </row>
    <row r="249" spans="1:18" x14ac:dyDescent="0.2">
      <c r="A249" t="s">
        <v>273</v>
      </c>
      <c r="B249">
        <v>1</v>
      </c>
      <c r="C249">
        <v>750</v>
      </c>
      <c r="D249">
        <v>910</v>
      </c>
      <c r="E249">
        <v>1</v>
      </c>
      <c r="F249" t="s">
        <v>15</v>
      </c>
      <c r="G249" t="b">
        <v>0</v>
      </c>
      <c r="H249">
        <v>1</v>
      </c>
      <c r="I249" t="b">
        <v>0</v>
      </c>
      <c r="J249">
        <v>15601.7538559073</v>
      </c>
      <c r="K249">
        <v>27035.398316872201</v>
      </c>
      <c r="L249" s="3">
        <v>1.73284353583336</v>
      </c>
      <c r="M249">
        <v>2.75</v>
      </c>
      <c r="N249">
        <v>16.61</v>
      </c>
      <c r="O249">
        <v>44.55</v>
      </c>
    </row>
    <row r="250" spans="1:18" x14ac:dyDescent="0.2">
      <c r="A250" t="s">
        <v>274</v>
      </c>
      <c r="B250">
        <v>1</v>
      </c>
      <c r="C250">
        <v>750</v>
      </c>
      <c r="D250">
        <v>910</v>
      </c>
      <c r="E250">
        <v>1</v>
      </c>
      <c r="F250" t="s">
        <v>15</v>
      </c>
      <c r="G250" t="b">
        <v>0</v>
      </c>
      <c r="H250">
        <v>1</v>
      </c>
      <c r="I250" t="b">
        <v>0</v>
      </c>
      <c r="J250">
        <v>18461.061385189401</v>
      </c>
      <c r="K250">
        <v>33955.950541397302</v>
      </c>
      <c r="L250" s="3">
        <v>1.83932818557435</v>
      </c>
      <c r="M250">
        <v>3.15</v>
      </c>
      <c r="N250">
        <v>17.55</v>
      </c>
      <c r="O250">
        <v>47.22</v>
      </c>
      <c r="P250" s="8"/>
      <c r="Q250" s="8"/>
    </row>
    <row r="251" spans="1:18" x14ac:dyDescent="0.2">
      <c r="A251" t="s">
        <v>275</v>
      </c>
      <c r="B251">
        <v>1</v>
      </c>
      <c r="C251">
        <v>750</v>
      </c>
      <c r="D251">
        <v>910</v>
      </c>
      <c r="E251">
        <v>1</v>
      </c>
      <c r="F251" t="s">
        <v>15</v>
      </c>
      <c r="G251" t="b">
        <v>0</v>
      </c>
      <c r="H251">
        <v>1</v>
      </c>
      <c r="I251" t="b">
        <v>0</v>
      </c>
      <c r="J251">
        <v>15760.7245190511</v>
      </c>
      <c r="K251">
        <v>31302.811564169398</v>
      </c>
      <c r="L251" s="3">
        <v>1.9861277015743399</v>
      </c>
      <c r="M251">
        <v>3.12</v>
      </c>
      <c r="N251">
        <v>14.99</v>
      </c>
      <c r="O251">
        <v>42.88</v>
      </c>
      <c r="P251" s="8"/>
      <c r="Q251" s="8"/>
    </row>
    <row r="252" spans="1:18" x14ac:dyDescent="0.2">
      <c r="A252" t="s">
        <v>276</v>
      </c>
      <c r="B252">
        <v>1</v>
      </c>
      <c r="C252">
        <v>750</v>
      </c>
      <c r="D252">
        <v>910</v>
      </c>
      <c r="E252">
        <v>1</v>
      </c>
      <c r="F252" t="s">
        <v>15</v>
      </c>
      <c r="G252" t="b">
        <v>0</v>
      </c>
      <c r="H252">
        <v>1</v>
      </c>
      <c r="I252" t="b">
        <v>0</v>
      </c>
      <c r="J252">
        <v>12697.1044033581</v>
      </c>
      <c r="K252">
        <v>24494.9709325603</v>
      </c>
      <c r="L252" s="3">
        <v>1.9291777207157399</v>
      </c>
      <c r="M252">
        <v>2.68</v>
      </c>
      <c r="N252">
        <v>14.03</v>
      </c>
      <c r="O252">
        <v>40</v>
      </c>
      <c r="P252" s="8"/>
      <c r="Q252" s="8"/>
    </row>
    <row r="253" spans="1:18" x14ac:dyDescent="0.2">
      <c r="A253" t="s">
        <v>277</v>
      </c>
      <c r="B253">
        <v>1</v>
      </c>
      <c r="C253">
        <v>750</v>
      </c>
      <c r="D253">
        <v>910</v>
      </c>
      <c r="E253">
        <v>1</v>
      </c>
      <c r="F253" t="s">
        <v>15</v>
      </c>
      <c r="G253" t="b">
        <v>0</v>
      </c>
      <c r="H253">
        <v>1</v>
      </c>
      <c r="I253" t="b">
        <v>0</v>
      </c>
      <c r="J253">
        <v>28312.501222188799</v>
      </c>
      <c r="K253">
        <v>55271.953453636401</v>
      </c>
      <c r="L253" s="3">
        <v>1.95221019223547</v>
      </c>
      <c r="M253">
        <v>4.24</v>
      </c>
      <c r="N253">
        <v>19.63</v>
      </c>
      <c r="O253">
        <v>56.18</v>
      </c>
      <c r="P253" s="8"/>
      <c r="Q253" s="8"/>
    </row>
    <row r="254" spans="1:18" x14ac:dyDescent="0.2">
      <c r="A254" t="s">
        <v>278</v>
      </c>
      <c r="B254">
        <v>1</v>
      </c>
      <c r="C254">
        <v>750</v>
      </c>
      <c r="D254">
        <v>910</v>
      </c>
      <c r="E254">
        <v>1</v>
      </c>
      <c r="F254" t="s">
        <v>15</v>
      </c>
      <c r="G254" t="b">
        <v>0</v>
      </c>
      <c r="H254">
        <v>1</v>
      </c>
      <c r="I254" t="b">
        <v>0</v>
      </c>
      <c r="J254">
        <v>23519.8122254712</v>
      </c>
      <c r="K254">
        <v>45854.480721986904</v>
      </c>
      <c r="L254" s="3">
        <v>1.9496108337262901</v>
      </c>
      <c r="M254">
        <v>3.92</v>
      </c>
      <c r="N254">
        <v>17.600000000000001</v>
      </c>
      <c r="O254">
        <v>51.26</v>
      </c>
      <c r="P254" s="8"/>
      <c r="Q254" s="8"/>
    </row>
    <row r="255" spans="1:18" x14ac:dyDescent="0.2">
      <c r="A255" t="s">
        <v>279</v>
      </c>
      <c r="B255">
        <v>1</v>
      </c>
      <c r="C255">
        <v>750</v>
      </c>
      <c r="D255">
        <v>910</v>
      </c>
      <c r="E255">
        <v>1</v>
      </c>
      <c r="F255" t="s">
        <v>15</v>
      </c>
      <c r="G255" t="b">
        <v>0</v>
      </c>
      <c r="H255">
        <v>1</v>
      </c>
      <c r="I255" t="b">
        <v>0</v>
      </c>
      <c r="J255">
        <v>43973.020500292398</v>
      </c>
      <c r="K255">
        <v>76285.466940009399</v>
      </c>
      <c r="L255" s="3">
        <v>1.7348243552999001</v>
      </c>
      <c r="M255">
        <v>4.21</v>
      </c>
      <c r="N255">
        <v>30.98</v>
      </c>
      <c r="O255">
        <v>78.73</v>
      </c>
      <c r="P255" s="8"/>
      <c r="Q255" s="8"/>
    </row>
    <row r="256" spans="1:18" x14ac:dyDescent="0.2">
      <c r="A256" t="s">
        <v>280</v>
      </c>
      <c r="B256">
        <v>1</v>
      </c>
      <c r="C256">
        <v>750</v>
      </c>
      <c r="D256">
        <v>910</v>
      </c>
      <c r="E256">
        <v>1</v>
      </c>
      <c r="F256" t="s">
        <v>15</v>
      </c>
      <c r="G256" t="b">
        <v>0</v>
      </c>
      <c r="H256">
        <v>1</v>
      </c>
      <c r="I256" t="b">
        <v>0</v>
      </c>
      <c r="J256">
        <v>61177.5893117948</v>
      </c>
      <c r="K256">
        <v>100822.43980972101</v>
      </c>
      <c r="L256" s="3">
        <v>1.6480289750528501</v>
      </c>
      <c r="M256">
        <v>3.78</v>
      </c>
      <c r="N256">
        <v>47.9</v>
      </c>
      <c r="O256">
        <v>117.11</v>
      </c>
      <c r="P256" s="8"/>
      <c r="Q256" s="8"/>
    </row>
    <row r="257" spans="1:18" x14ac:dyDescent="0.2">
      <c r="A257" t="s">
        <v>281</v>
      </c>
      <c r="B257">
        <v>1</v>
      </c>
      <c r="C257">
        <v>750</v>
      </c>
      <c r="D257">
        <v>910</v>
      </c>
      <c r="E257">
        <v>1</v>
      </c>
      <c r="F257" t="s">
        <v>15</v>
      </c>
      <c r="G257" t="b">
        <v>0</v>
      </c>
      <c r="H257">
        <v>1</v>
      </c>
      <c r="I257" t="b">
        <v>0</v>
      </c>
      <c r="J257">
        <v>54355.434333246601</v>
      </c>
      <c r="K257">
        <v>91215.787026270904</v>
      </c>
      <c r="L257" s="3">
        <v>1.67813555618078</v>
      </c>
      <c r="M257">
        <v>4.7699999999999996</v>
      </c>
      <c r="N257">
        <v>33.24</v>
      </c>
      <c r="O257">
        <v>82.68</v>
      </c>
      <c r="P257" s="8"/>
      <c r="Q257" s="8"/>
    </row>
    <row r="258" spans="1:18" x14ac:dyDescent="0.2">
      <c r="A258" s="1" t="s">
        <v>282</v>
      </c>
      <c r="B258" s="1">
        <v>1</v>
      </c>
      <c r="C258" s="1">
        <v>750</v>
      </c>
      <c r="D258" s="1">
        <v>910</v>
      </c>
      <c r="E258" s="1">
        <v>1</v>
      </c>
      <c r="F258" s="1" t="s">
        <v>15</v>
      </c>
      <c r="G258" s="1" t="b">
        <v>0</v>
      </c>
      <c r="H258" s="1">
        <v>1</v>
      </c>
      <c r="I258" s="1" t="b">
        <v>0</v>
      </c>
      <c r="J258" s="1">
        <v>60753.901071641303</v>
      </c>
      <c r="K258" s="1">
        <v>98985.147470091993</v>
      </c>
      <c r="L258" s="4">
        <v>1.6292805190133901</v>
      </c>
      <c r="M258" s="1">
        <v>5.71</v>
      </c>
      <c r="N258" s="1">
        <v>31.82</v>
      </c>
      <c r="O258" s="1">
        <v>75.23</v>
      </c>
      <c r="P258" s="9">
        <f>AVERAGE(L247:L258)</f>
        <v>1.7986539106987649</v>
      </c>
      <c r="Q258" s="9">
        <f>STDEV(L247:L258)</f>
        <v>0.12879063525506174</v>
      </c>
      <c r="R258">
        <f>COUNTA(L247:L258)</f>
        <v>12</v>
      </c>
    </row>
    <row r="259" spans="1:18" x14ac:dyDescent="0.2">
      <c r="A259" t="s">
        <v>283</v>
      </c>
      <c r="B259">
        <v>1</v>
      </c>
      <c r="C259">
        <v>750</v>
      </c>
      <c r="D259">
        <v>910</v>
      </c>
      <c r="E259">
        <v>1</v>
      </c>
      <c r="F259" t="s">
        <v>15</v>
      </c>
      <c r="G259" t="b">
        <v>0</v>
      </c>
      <c r="H259">
        <v>1</v>
      </c>
      <c r="I259" t="b">
        <v>1</v>
      </c>
      <c r="J259">
        <v>56526.238857617798</v>
      </c>
      <c r="K259">
        <v>149249.80886213999</v>
      </c>
      <c r="L259" s="3">
        <v>2.64036334060861</v>
      </c>
      <c r="M259">
        <v>4.4000000000000004</v>
      </c>
      <c r="N259">
        <v>36.29</v>
      </c>
      <c r="O259">
        <v>144.77000000000001</v>
      </c>
      <c r="P259" s="8"/>
      <c r="Q259" s="8"/>
    </row>
    <row r="260" spans="1:18" x14ac:dyDescent="0.2">
      <c r="A260" t="s">
        <v>284</v>
      </c>
      <c r="B260">
        <v>1</v>
      </c>
      <c r="C260">
        <v>750</v>
      </c>
      <c r="D260">
        <v>910</v>
      </c>
      <c r="E260">
        <v>1</v>
      </c>
      <c r="F260" t="s">
        <v>15</v>
      </c>
      <c r="G260" t="b">
        <v>0</v>
      </c>
      <c r="H260">
        <v>1</v>
      </c>
      <c r="I260" t="b">
        <v>0</v>
      </c>
      <c r="J260">
        <v>54487.857878359697</v>
      </c>
      <c r="K260">
        <v>147346.389653677</v>
      </c>
      <c r="L260" s="3">
        <v>2.7042059532348999</v>
      </c>
      <c r="M260">
        <v>4.66</v>
      </c>
      <c r="N260">
        <v>33.4</v>
      </c>
      <c r="O260">
        <v>135.37</v>
      </c>
      <c r="P260" s="8"/>
      <c r="Q260" s="8"/>
    </row>
    <row r="261" spans="1:18" x14ac:dyDescent="0.2">
      <c r="A261" t="s">
        <v>285</v>
      </c>
      <c r="B261">
        <v>1</v>
      </c>
      <c r="C261">
        <v>750</v>
      </c>
      <c r="D261">
        <v>910</v>
      </c>
      <c r="E261">
        <v>1</v>
      </c>
      <c r="F261" t="s">
        <v>15</v>
      </c>
      <c r="G261" t="b">
        <v>0</v>
      </c>
      <c r="H261">
        <v>1</v>
      </c>
      <c r="I261" t="b">
        <v>0</v>
      </c>
      <c r="J261">
        <v>42853.756585821298</v>
      </c>
      <c r="K261">
        <v>125028.183292502</v>
      </c>
      <c r="L261" s="3">
        <v>2.9175548015752999</v>
      </c>
      <c r="M261">
        <v>4.54</v>
      </c>
      <c r="N261">
        <v>27.16</v>
      </c>
      <c r="O261">
        <v>115.3</v>
      </c>
      <c r="P261" s="8"/>
      <c r="Q261" s="8"/>
    </row>
    <row r="262" spans="1:18" x14ac:dyDescent="0.2">
      <c r="A262" t="s">
        <v>286</v>
      </c>
      <c r="B262">
        <v>1</v>
      </c>
      <c r="C262">
        <v>750</v>
      </c>
      <c r="D262">
        <v>910</v>
      </c>
      <c r="E262">
        <v>1</v>
      </c>
      <c r="F262" t="s">
        <v>15</v>
      </c>
      <c r="G262" t="b">
        <v>0</v>
      </c>
      <c r="H262">
        <v>1</v>
      </c>
      <c r="I262" t="b">
        <v>0</v>
      </c>
      <c r="J262">
        <v>46110.633853699503</v>
      </c>
      <c r="K262">
        <v>125764.107123999</v>
      </c>
      <c r="L262" s="3">
        <v>2.7274426008331401</v>
      </c>
      <c r="M262">
        <v>4.3600000000000003</v>
      </c>
      <c r="N262">
        <v>29.84</v>
      </c>
      <c r="O262">
        <v>125.02</v>
      </c>
      <c r="P262" s="8"/>
      <c r="Q262" s="8"/>
    </row>
    <row r="263" spans="1:18" x14ac:dyDescent="0.2">
      <c r="A263" t="s">
        <v>287</v>
      </c>
      <c r="B263">
        <v>1</v>
      </c>
      <c r="C263">
        <v>750</v>
      </c>
      <c r="D263">
        <v>910</v>
      </c>
      <c r="E263">
        <v>1</v>
      </c>
      <c r="F263" t="s">
        <v>15</v>
      </c>
      <c r="G263" t="b">
        <v>0</v>
      </c>
      <c r="H263">
        <v>1</v>
      </c>
      <c r="I263" t="b">
        <v>0</v>
      </c>
      <c r="J263">
        <v>41515.453756258001</v>
      </c>
      <c r="K263">
        <v>113370.76880213599</v>
      </c>
      <c r="L263" s="3">
        <v>2.7308088565705999</v>
      </c>
      <c r="M263">
        <v>4.4400000000000004</v>
      </c>
      <c r="N263">
        <v>26.52</v>
      </c>
      <c r="O263">
        <v>112.15</v>
      </c>
      <c r="P263" s="8"/>
      <c r="Q263" s="8"/>
    </row>
    <row r="264" spans="1:18" x14ac:dyDescent="0.2">
      <c r="A264" t="s">
        <v>288</v>
      </c>
      <c r="B264">
        <v>1</v>
      </c>
      <c r="C264">
        <v>750</v>
      </c>
      <c r="D264">
        <v>910</v>
      </c>
      <c r="E264">
        <v>1</v>
      </c>
      <c r="F264" t="s">
        <v>15</v>
      </c>
      <c r="G264" t="b">
        <v>0</v>
      </c>
      <c r="H264">
        <v>1</v>
      </c>
      <c r="I264" t="b">
        <v>0</v>
      </c>
      <c r="J264">
        <v>21679.8157304583</v>
      </c>
      <c r="K264">
        <v>59084.355048047197</v>
      </c>
      <c r="L264" s="3">
        <v>2.72531629339628</v>
      </c>
      <c r="M264">
        <v>3.12</v>
      </c>
      <c r="N264">
        <v>19.97</v>
      </c>
      <c r="O264">
        <v>81.92</v>
      </c>
      <c r="P264" s="8"/>
      <c r="Q264" s="8"/>
    </row>
    <row r="265" spans="1:18" x14ac:dyDescent="0.2">
      <c r="A265" t="s">
        <v>289</v>
      </c>
      <c r="B265">
        <v>1</v>
      </c>
      <c r="C265">
        <v>750</v>
      </c>
      <c r="D265">
        <v>910</v>
      </c>
      <c r="E265">
        <v>1</v>
      </c>
      <c r="F265" t="s">
        <v>15</v>
      </c>
      <c r="G265" t="b">
        <v>0</v>
      </c>
      <c r="H265">
        <v>1</v>
      </c>
      <c r="I265" t="b">
        <v>0</v>
      </c>
      <c r="J265">
        <v>14417.979125952501</v>
      </c>
      <c r="K265">
        <v>43861.745102347297</v>
      </c>
      <c r="L265" s="3">
        <v>3.04215623557088</v>
      </c>
      <c r="M265">
        <v>2.72</v>
      </c>
      <c r="N265">
        <v>15.3</v>
      </c>
      <c r="O265">
        <v>68.680000000000007</v>
      </c>
      <c r="P265" s="8"/>
      <c r="Q265" s="8"/>
    </row>
    <row r="266" spans="1:18" x14ac:dyDescent="0.2">
      <c r="A266" t="s">
        <v>290</v>
      </c>
      <c r="B266">
        <v>1</v>
      </c>
      <c r="C266">
        <v>750</v>
      </c>
      <c r="D266">
        <v>910</v>
      </c>
      <c r="E266">
        <v>1</v>
      </c>
      <c r="F266" t="s">
        <v>15</v>
      </c>
      <c r="G266" t="b">
        <v>0</v>
      </c>
      <c r="H266">
        <v>1</v>
      </c>
      <c r="I266" t="b">
        <v>0</v>
      </c>
      <c r="J266">
        <v>20567.182946441801</v>
      </c>
      <c r="K266">
        <v>59483.795248541901</v>
      </c>
      <c r="L266" s="3">
        <v>2.8921702793931998</v>
      </c>
      <c r="M266">
        <v>3.77</v>
      </c>
      <c r="N266">
        <v>15.76</v>
      </c>
      <c r="O266">
        <v>67.94</v>
      </c>
      <c r="P266" s="8"/>
      <c r="Q266" s="8"/>
    </row>
    <row r="267" spans="1:18" x14ac:dyDescent="0.2">
      <c r="A267" t="s">
        <v>291</v>
      </c>
      <c r="B267">
        <v>1</v>
      </c>
      <c r="C267">
        <v>750</v>
      </c>
      <c r="D267">
        <v>910</v>
      </c>
      <c r="E267">
        <v>1</v>
      </c>
      <c r="F267" t="s">
        <v>15</v>
      </c>
      <c r="G267" t="b">
        <v>0</v>
      </c>
      <c r="H267">
        <v>1</v>
      </c>
      <c r="I267" t="b">
        <v>0</v>
      </c>
      <c r="J267">
        <v>19629.787244213501</v>
      </c>
      <c r="K267">
        <v>55142.546033944003</v>
      </c>
      <c r="L267" s="3">
        <v>2.8091260158817501</v>
      </c>
      <c r="M267">
        <v>4.6900000000000004</v>
      </c>
      <c r="N267">
        <v>11.91</v>
      </c>
      <c r="O267">
        <v>51.9</v>
      </c>
      <c r="P267" s="8"/>
      <c r="Q267" s="8"/>
    </row>
    <row r="268" spans="1:18" x14ac:dyDescent="0.2">
      <c r="A268" t="s">
        <v>292</v>
      </c>
      <c r="B268">
        <v>1</v>
      </c>
      <c r="C268">
        <v>750</v>
      </c>
      <c r="D268">
        <v>910</v>
      </c>
      <c r="E268">
        <v>1</v>
      </c>
      <c r="F268" t="s">
        <v>15</v>
      </c>
      <c r="G268" t="b">
        <v>0</v>
      </c>
      <c r="H268">
        <v>1</v>
      </c>
      <c r="I268" t="b">
        <v>0</v>
      </c>
      <c r="J268">
        <v>21459.955246334299</v>
      </c>
      <c r="K268">
        <v>59351.0138910241</v>
      </c>
      <c r="L268" s="3">
        <v>2.76566345128618</v>
      </c>
      <c r="M268">
        <v>2.97</v>
      </c>
      <c r="N268">
        <v>20.76</v>
      </c>
      <c r="O268">
        <v>86.21</v>
      </c>
      <c r="P268" s="8"/>
      <c r="Q268" s="8"/>
    </row>
    <row r="269" spans="1:18" x14ac:dyDescent="0.2">
      <c r="A269" s="1" t="s">
        <v>293</v>
      </c>
      <c r="B269" s="1">
        <v>1</v>
      </c>
      <c r="C269" s="1">
        <v>750</v>
      </c>
      <c r="D269" s="1">
        <v>910</v>
      </c>
      <c r="E269" s="1">
        <v>1</v>
      </c>
      <c r="F269" s="1" t="s">
        <v>15</v>
      </c>
      <c r="G269" s="1" t="b">
        <v>0</v>
      </c>
      <c r="H269" s="1">
        <v>1</v>
      </c>
      <c r="I269" s="1" t="b">
        <v>0</v>
      </c>
      <c r="J269" s="1">
        <v>22587.749391643902</v>
      </c>
      <c r="K269" s="1">
        <v>62585.122194167401</v>
      </c>
      <c r="L269" s="4">
        <v>2.77075511636941</v>
      </c>
      <c r="M269" s="1">
        <v>3.53</v>
      </c>
      <c r="N269" s="1">
        <v>18.47</v>
      </c>
      <c r="O269" s="1">
        <v>76.680000000000007</v>
      </c>
      <c r="P269" s="9">
        <f>AVERAGE(L259:L269)</f>
        <v>2.7932329949745682</v>
      </c>
      <c r="Q269" s="9">
        <f>STDEV(L259:L269)</f>
        <v>0.11526403306748523</v>
      </c>
      <c r="R269">
        <f>COUNTA(L259:L269)</f>
        <v>11</v>
      </c>
    </row>
    <row r="270" spans="1:18" x14ac:dyDescent="0.2">
      <c r="A270" t="s">
        <v>294</v>
      </c>
      <c r="B270">
        <v>1</v>
      </c>
      <c r="C270">
        <v>750</v>
      </c>
      <c r="D270">
        <v>910</v>
      </c>
      <c r="E270">
        <v>1</v>
      </c>
      <c r="F270" t="s">
        <v>15</v>
      </c>
      <c r="G270" t="b">
        <v>0</v>
      </c>
      <c r="H270">
        <v>1</v>
      </c>
      <c r="I270" t="b">
        <v>0</v>
      </c>
      <c r="J270">
        <v>10808.494457565301</v>
      </c>
      <c r="K270">
        <v>33259.847775091002</v>
      </c>
      <c r="L270" s="3">
        <v>3.0771952472817299</v>
      </c>
      <c r="M270">
        <v>2.4500000000000002</v>
      </c>
      <c r="N270">
        <v>12.66</v>
      </c>
      <c r="O270">
        <v>59.66</v>
      </c>
      <c r="P270" s="8"/>
      <c r="Q270" s="8"/>
    </row>
    <row r="271" spans="1:18" x14ac:dyDescent="0.2">
      <c r="A271" t="s">
        <v>295</v>
      </c>
      <c r="B271">
        <v>1</v>
      </c>
      <c r="C271">
        <v>750</v>
      </c>
      <c r="D271">
        <v>910</v>
      </c>
      <c r="E271">
        <v>1</v>
      </c>
      <c r="F271" t="s">
        <v>15</v>
      </c>
      <c r="G271" t="b">
        <v>0</v>
      </c>
      <c r="H271">
        <v>1</v>
      </c>
      <c r="I271" t="b">
        <v>0</v>
      </c>
      <c r="J271">
        <v>15631.991587893501</v>
      </c>
      <c r="K271">
        <v>62108.348518931904</v>
      </c>
      <c r="L271" s="3">
        <v>3.9731564701603901</v>
      </c>
      <c r="M271">
        <v>2.95</v>
      </c>
      <c r="N271">
        <v>15.26</v>
      </c>
      <c r="O271">
        <v>86.47</v>
      </c>
      <c r="P271" s="8"/>
      <c r="Q271" s="8"/>
    </row>
    <row r="272" spans="1:18" x14ac:dyDescent="0.2">
      <c r="A272" t="s">
        <v>296</v>
      </c>
      <c r="B272">
        <v>1</v>
      </c>
      <c r="C272">
        <v>750</v>
      </c>
      <c r="D272">
        <v>910</v>
      </c>
      <c r="E272">
        <v>1</v>
      </c>
      <c r="F272" t="s">
        <v>15</v>
      </c>
      <c r="G272" t="b">
        <v>0</v>
      </c>
      <c r="H272">
        <v>1</v>
      </c>
      <c r="I272" t="b">
        <v>0</v>
      </c>
      <c r="J272">
        <v>13679.806754736601</v>
      </c>
      <c r="K272">
        <v>54819.404302994502</v>
      </c>
      <c r="L272" s="3">
        <v>4.00732300432629</v>
      </c>
      <c r="M272">
        <v>3.28</v>
      </c>
      <c r="N272">
        <v>11.91</v>
      </c>
      <c r="O272">
        <v>70.28</v>
      </c>
      <c r="P272" s="8"/>
      <c r="Q272" s="8"/>
    </row>
    <row r="273" spans="1:18" x14ac:dyDescent="0.2">
      <c r="A273" t="s">
        <v>297</v>
      </c>
      <c r="B273">
        <v>1</v>
      </c>
      <c r="C273">
        <v>750</v>
      </c>
      <c r="D273">
        <v>910</v>
      </c>
      <c r="E273">
        <v>1</v>
      </c>
      <c r="F273" t="s">
        <v>15</v>
      </c>
      <c r="G273" t="b">
        <v>0</v>
      </c>
      <c r="H273">
        <v>1</v>
      </c>
      <c r="I273" t="b">
        <v>0</v>
      </c>
      <c r="J273">
        <v>13788.807323666901</v>
      </c>
      <c r="K273">
        <v>54677.276728117802</v>
      </c>
      <c r="L273" s="3">
        <v>3.9653376426741498</v>
      </c>
      <c r="M273">
        <v>2.46</v>
      </c>
      <c r="N273">
        <v>15.89</v>
      </c>
      <c r="O273">
        <v>93.36</v>
      </c>
      <c r="P273" s="8"/>
      <c r="Q273" s="8"/>
    </row>
    <row r="274" spans="1:18" x14ac:dyDescent="0.2">
      <c r="A274" t="s">
        <v>298</v>
      </c>
      <c r="B274">
        <v>1</v>
      </c>
      <c r="C274">
        <v>750</v>
      </c>
      <c r="D274">
        <v>910</v>
      </c>
      <c r="E274">
        <v>1</v>
      </c>
      <c r="F274" t="s">
        <v>15</v>
      </c>
      <c r="G274" t="b">
        <v>0</v>
      </c>
      <c r="H274">
        <v>1</v>
      </c>
      <c r="I274" t="b">
        <v>0</v>
      </c>
      <c r="J274">
        <v>14815.486891914001</v>
      </c>
      <c r="K274">
        <v>59388.524878671902</v>
      </c>
      <c r="L274" s="3">
        <v>4.0085435809122698</v>
      </c>
      <c r="M274">
        <v>2.83</v>
      </c>
      <c r="N274">
        <v>15.12</v>
      </c>
      <c r="O274">
        <v>86.52</v>
      </c>
      <c r="P274" s="8"/>
      <c r="Q274" s="8"/>
    </row>
    <row r="275" spans="1:18" x14ac:dyDescent="0.2">
      <c r="A275" t="s">
        <v>299</v>
      </c>
      <c r="B275">
        <v>1</v>
      </c>
      <c r="C275">
        <v>750</v>
      </c>
      <c r="D275">
        <v>910</v>
      </c>
      <c r="E275">
        <v>1</v>
      </c>
      <c r="F275" t="s">
        <v>15</v>
      </c>
      <c r="G275" t="b">
        <v>0</v>
      </c>
      <c r="H275">
        <v>1</v>
      </c>
      <c r="I275" t="b">
        <v>0</v>
      </c>
      <c r="J275">
        <v>13855.0088564376</v>
      </c>
      <c r="K275">
        <v>59413.034931933202</v>
      </c>
      <c r="L275" s="3">
        <v>4.2881989861975001</v>
      </c>
      <c r="M275">
        <v>2.65</v>
      </c>
      <c r="N275">
        <v>14.96</v>
      </c>
      <c r="O275">
        <v>90.98</v>
      </c>
      <c r="P275" s="8"/>
      <c r="Q275" s="8"/>
    </row>
    <row r="276" spans="1:18" x14ac:dyDescent="0.2">
      <c r="A276" s="1" t="s">
        <v>300</v>
      </c>
      <c r="B276" s="1">
        <v>1</v>
      </c>
      <c r="C276" s="1">
        <v>750</v>
      </c>
      <c r="D276" s="1">
        <v>910</v>
      </c>
      <c r="E276" s="1">
        <v>1</v>
      </c>
      <c r="F276" s="1" t="s">
        <v>15</v>
      </c>
      <c r="G276" s="1" t="b">
        <v>0</v>
      </c>
      <c r="H276" s="1">
        <v>1</v>
      </c>
      <c r="I276" s="1" t="b">
        <v>1</v>
      </c>
      <c r="J276" s="1">
        <v>14779.2433851646</v>
      </c>
      <c r="K276" s="1">
        <v>59177.235976837903</v>
      </c>
      <c r="L276" s="4">
        <v>4.0040775048227397</v>
      </c>
      <c r="M276" s="1">
        <v>2.89</v>
      </c>
      <c r="N276" s="1">
        <v>14.28</v>
      </c>
      <c r="O276" s="1">
        <v>85.57</v>
      </c>
      <c r="P276" s="9">
        <f>AVERAGE(L270:L276)</f>
        <v>3.9034046337678672</v>
      </c>
      <c r="Q276" s="9">
        <f>STDEV(L270:L276)</f>
        <v>0.3810900840930827</v>
      </c>
      <c r="R276">
        <f>COUNTA(L270:L276)</f>
        <v>7</v>
      </c>
    </row>
    <row r="277" spans="1:18" x14ac:dyDescent="0.2">
      <c r="A277" t="s">
        <v>301</v>
      </c>
      <c r="B277">
        <v>1</v>
      </c>
      <c r="C277">
        <v>750</v>
      </c>
      <c r="D277">
        <v>910</v>
      </c>
      <c r="E277">
        <v>1</v>
      </c>
      <c r="F277" t="s">
        <v>15</v>
      </c>
      <c r="G277" t="b">
        <v>0</v>
      </c>
      <c r="H277">
        <v>1</v>
      </c>
      <c r="I277" t="b">
        <v>1</v>
      </c>
      <c r="J277">
        <v>16816.266052254101</v>
      </c>
      <c r="K277">
        <v>87053.040351481395</v>
      </c>
      <c r="L277" s="3">
        <v>5.1767164054717201</v>
      </c>
      <c r="M277">
        <v>2.75</v>
      </c>
      <c r="N277">
        <v>17.02</v>
      </c>
      <c r="O277">
        <v>124.56</v>
      </c>
      <c r="P277" s="8"/>
      <c r="Q277" s="8"/>
    </row>
    <row r="278" spans="1:18" x14ac:dyDescent="0.2">
      <c r="A278" t="s">
        <v>302</v>
      </c>
      <c r="B278">
        <v>1</v>
      </c>
      <c r="C278">
        <v>750</v>
      </c>
      <c r="D278">
        <v>910</v>
      </c>
      <c r="E278">
        <v>1</v>
      </c>
      <c r="F278" t="s">
        <v>15</v>
      </c>
      <c r="G278" t="b">
        <v>0</v>
      </c>
      <c r="H278">
        <v>1</v>
      </c>
      <c r="I278" t="b">
        <v>1</v>
      </c>
      <c r="J278">
        <v>10450.0560227472</v>
      </c>
      <c r="K278">
        <v>56231.114225669</v>
      </c>
      <c r="L278" s="3">
        <v>5.3809390211179</v>
      </c>
      <c r="M278">
        <v>2.59</v>
      </c>
      <c r="N278">
        <v>11.49</v>
      </c>
      <c r="O278">
        <v>89.71</v>
      </c>
      <c r="P278" s="8"/>
      <c r="Q278" s="8"/>
    </row>
    <row r="279" spans="1:18" x14ac:dyDescent="0.2">
      <c r="A279" t="s">
        <v>303</v>
      </c>
      <c r="B279">
        <v>1</v>
      </c>
      <c r="C279">
        <v>750</v>
      </c>
      <c r="D279">
        <v>910</v>
      </c>
      <c r="E279">
        <v>1</v>
      </c>
      <c r="F279" t="s">
        <v>15</v>
      </c>
      <c r="G279" t="b">
        <v>0</v>
      </c>
      <c r="H279">
        <v>1</v>
      </c>
      <c r="I279" t="b">
        <v>1</v>
      </c>
      <c r="J279">
        <v>14054.861797122099</v>
      </c>
      <c r="K279">
        <v>71335.283967796597</v>
      </c>
      <c r="L279" s="3">
        <v>5.0754881120497997</v>
      </c>
      <c r="M279">
        <v>3.45</v>
      </c>
      <c r="N279">
        <v>11.33</v>
      </c>
      <c r="O279">
        <v>83.42</v>
      </c>
      <c r="P279" s="8"/>
      <c r="Q279" s="8"/>
    </row>
    <row r="280" spans="1:18" x14ac:dyDescent="0.2">
      <c r="A280" t="s">
        <v>304</v>
      </c>
      <c r="B280">
        <v>1</v>
      </c>
      <c r="C280">
        <v>750</v>
      </c>
      <c r="D280">
        <v>910</v>
      </c>
      <c r="E280">
        <v>1</v>
      </c>
      <c r="F280" t="s">
        <v>15</v>
      </c>
      <c r="G280" t="b">
        <v>0</v>
      </c>
      <c r="H280">
        <v>1</v>
      </c>
      <c r="I280" t="b">
        <v>0</v>
      </c>
      <c r="J280">
        <v>15563.0678331002</v>
      </c>
      <c r="K280">
        <v>81728.946589375904</v>
      </c>
      <c r="L280" s="3">
        <v>5.2514676068911799</v>
      </c>
      <c r="M280">
        <v>2.97</v>
      </c>
      <c r="N280">
        <v>14.89</v>
      </c>
      <c r="O280">
        <v>108.34</v>
      </c>
      <c r="P280" s="8"/>
      <c r="Q280" s="8"/>
    </row>
    <row r="281" spans="1:18" x14ac:dyDescent="0.2">
      <c r="A281" t="s">
        <v>305</v>
      </c>
      <c r="B281">
        <v>1</v>
      </c>
      <c r="C281">
        <v>750</v>
      </c>
      <c r="D281">
        <v>910</v>
      </c>
      <c r="E281">
        <v>1</v>
      </c>
      <c r="F281" t="s">
        <v>15</v>
      </c>
      <c r="G281" t="b">
        <v>0</v>
      </c>
      <c r="H281">
        <v>1</v>
      </c>
      <c r="I281" t="b">
        <v>0</v>
      </c>
      <c r="J281">
        <v>13317.320501092199</v>
      </c>
      <c r="K281">
        <v>72396.7510711512</v>
      </c>
      <c r="L281" s="3">
        <v>5.4362851044407501</v>
      </c>
      <c r="M281">
        <v>3.36</v>
      </c>
      <c r="N281">
        <v>11.16</v>
      </c>
      <c r="O281">
        <v>87.58</v>
      </c>
      <c r="P281" s="8"/>
      <c r="Q281" s="8"/>
    </row>
    <row r="282" spans="1:18" x14ac:dyDescent="0.2">
      <c r="A282" t="s">
        <v>306</v>
      </c>
      <c r="B282">
        <v>1</v>
      </c>
      <c r="C282">
        <v>750</v>
      </c>
      <c r="D282">
        <v>910</v>
      </c>
      <c r="E282">
        <v>1</v>
      </c>
      <c r="F282" t="s">
        <v>15</v>
      </c>
      <c r="G282" t="b">
        <v>0</v>
      </c>
      <c r="H282">
        <v>1</v>
      </c>
      <c r="I282" t="b">
        <v>1</v>
      </c>
      <c r="J282">
        <v>14092.2090556483</v>
      </c>
      <c r="K282">
        <v>75120.970813826294</v>
      </c>
      <c r="L282" s="3">
        <v>5.3306738863426597</v>
      </c>
      <c r="M282">
        <v>3</v>
      </c>
      <c r="N282">
        <v>13.18</v>
      </c>
      <c r="O282">
        <v>98.87</v>
      </c>
      <c r="P282" s="8"/>
      <c r="Q282" s="8"/>
    </row>
    <row r="283" spans="1:18" x14ac:dyDescent="0.2">
      <c r="A283" t="s">
        <v>307</v>
      </c>
      <c r="B283">
        <v>1</v>
      </c>
      <c r="C283">
        <v>750</v>
      </c>
      <c r="D283">
        <v>910</v>
      </c>
      <c r="E283">
        <v>1</v>
      </c>
      <c r="F283" t="s">
        <v>15</v>
      </c>
      <c r="G283" t="b">
        <v>0</v>
      </c>
      <c r="H283">
        <v>1</v>
      </c>
      <c r="I283" t="b">
        <v>0</v>
      </c>
      <c r="J283">
        <v>14109.8208369901</v>
      </c>
      <c r="K283">
        <v>75134.294603670496</v>
      </c>
      <c r="L283" s="3">
        <v>5.3249644677768799</v>
      </c>
      <c r="M283">
        <v>2.81</v>
      </c>
      <c r="N283">
        <v>14.14</v>
      </c>
      <c r="O283">
        <v>105.9</v>
      </c>
      <c r="P283" s="8"/>
      <c r="Q283" s="8"/>
    </row>
    <row r="284" spans="1:18" x14ac:dyDescent="0.2">
      <c r="A284" s="1" t="s">
        <v>308</v>
      </c>
      <c r="B284" s="1">
        <v>1</v>
      </c>
      <c r="C284" s="1">
        <v>750</v>
      </c>
      <c r="D284" s="1">
        <v>910</v>
      </c>
      <c r="E284" s="1">
        <v>1</v>
      </c>
      <c r="F284" s="1" t="s">
        <v>15</v>
      </c>
      <c r="G284" s="1" t="b">
        <v>0</v>
      </c>
      <c r="H284" s="1">
        <v>1</v>
      </c>
      <c r="I284" s="1" t="b">
        <v>1</v>
      </c>
      <c r="J284" s="1">
        <v>13198.090459037399</v>
      </c>
      <c r="K284" s="1">
        <v>70097.029466955602</v>
      </c>
      <c r="L284" s="4">
        <v>5.3111493427412002</v>
      </c>
      <c r="M284" s="1">
        <v>3.1</v>
      </c>
      <c r="N284" s="1">
        <v>12.09</v>
      </c>
      <c r="O284" s="1">
        <v>91.88</v>
      </c>
      <c r="P284" s="9">
        <f>AVERAGE(L277:L284)</f>
        <v>5.2859604933540112</v>
      </c>
      <c r="Q284" s="9">
        <f>STDEV(L277:L284)</f>
        <v>0.11538515523918741</v>
      </c>
      <c r="R284">
        <f>COUNTA(L277:L284)</f>
        <v>8</v>
      </c>
    </row>
    <row r="285" spans="1:18" x14ac:dyDescent="0.2">
      <c r="A285" s="1" t="s">
        <v>309</v>
      </c>
      <c r="B285" s="1">
        <v>1</v>
      </c>
      <c r="C285" s="1">
        <v>750</v>
      </c>
      <c r="D285" s="1">
        <v>910</v>
      </c>
      <c r="E285" s="1">
        <v>1</v>
      </c>
      <c r="F285" s="1" t="s">
        <v>15</v>
      </c>
      <c r="G285" s="1" t="b">
        <v>0</v>
      </c>
      <c r="H285" s="1">
        <v>1</v>
      </c>
      <c r="I285" s="1" t="b">
        <v>0</v>
      </c>
      <c r="J285" s="1">
        <v>20718.235236126799</v>
      </c>
      <c r="K285" s="1">
        <v>18666.083688083701</v>
      </c>
      <c r="L285" s="4">
        <v>0.90094950054120604</v>
      </c>
      <c r="M285" s="1">
        <v>4.78</v>
      </c>
      <c r="N285" s="1">
        <v>10.94</v>
      </c>
      <c r="O285" s="1">
        <v>16.91</v>
      </c>
      <c r="P285" s="9">
        <f>L285</f>
        <v>0.90094950054120604</v>
      </c>
      <c r="Q285" s="9"/>
      <c r="R285">
        <v>1</v>
      </c>
    </row>
    <row r="286" spans="1:18" x14ac:dyDescent="0.2">
      <c r="A286" t="s">
        <v>310</v>
      </c>
      <c r="B286">
        <v>1</v>
      </c>
      <c r="C286">
        <v>750</v>
      </c>
      <c r="D286">
        <v>910</v>
      </c>
      <c r="E286">
        <v>1</v>
      </c>
      <c r="F286" t="s">
        <v>15</v>
      </c>
      <c r="G286" t="b">
        <v>0</v>
      </c>
      <c r="H286">
        <v>1</v>
      </c>
      <c r="I286" t="b">
        <v>0</v>
      </c>
      <c r="J286">
        <v>10322.260181224899</v>
      </c>
      <c r="K286">
        <v>60438.902774879403</v>
      </c>
      <c r="L286" s="3">
        <v>5.8552004806865101</v>
      </c>
      <c r="M286">
        <v>2.4500000000000002</v>
      </c>
      <c r="N286">
        <v>13.01</v>
      </c>
      <c r="O286">
        <v>99.19</v>
      </c>
      <c r="P286" s="8"/>
      <c r="Q286" s="8"/>
    </row>
    <row r="287" spans="1:18" x14ac:dyDescent="0.2">
      <c r="A287" t="s">
        <v>311</v>
      </c>
      <c r="B287">
        <v>1</v>
      </c>
      <c r="C287">
        <v>750</v>
      </c>
      <c r="D287">
        <v>910</v>
      </c>
      <c r="E287">
        <v>1</v>
      </c>
      <c r="F287" t="s">
        <v>15</v>
      </c>
      <c r="G287" t="b">
        <v>0</v>
      </c>
      <c r="H287">
        <v>1</v>
      </c>
      <c r="I287" t="b">
        <v>0</v>
      </c>
      <c r="J287">
        <v>10089.2443120386</v>
      </c>
      <c r="K287">
        <v>58773.355273989197</v>
      </c>
      <c r="L287" s="3">
        <v>5.82534761338467</v>
      </c>
      <c r="M287">
        <v>2.15</v>
      </c>
      <c r="N287">
        <v>13.86</v>
      </c>
      <c r="O287">
        <v>107.23</v>
      </c>
      <c r="P287" s="8"/>
      <c r="Q287" s="8"/>
    </row>
    <row r="288" spans="1:18" x14ac:dyDescent="0.2">
      <c r="A288" t="s">
        <v>312</v>
      </c>
      <c r="B288">
        <v>1</v>
      </c>
      <c r="C288">
        <v>750</v>
      </c>
      <c r="D288">
        <v>910</v>
      </c>
      <c r="E288">
        <v>1</v>
      </c>
      <c r="F288" t="s">
        <v>15</v>
      </c>
      <c r="G288" t="b">
        <v>0</v>
      </c>
      <c r="H288">
        <v>1</v>
      </c>
      <c r="I288" t="b">
        <v>0</v>
      </c>
      <c r="J288">
        <v>13837.3118143315</v>
      </c>
      <c r="K288">
        <v>87270.253999880806</v>
      </c>
      <c r="L288" s="3">
        <v>6.30687919524176</v>
      </c>
      <c r="M288">
        <v>2.52</v>
      </c>
      <c r="N288">
        <v>15.94</v>
      </c>
      <c r="O288">
        <v>140.51</v>
      </c>
      <c r="P288" s="8"/>
      <c r="Q288" s="8"/>
    </row>
    <row r="289" spans="1:18" x14ac:dyDescent="0.2">
      <c r="A289" t="s">
        <v>313</v>
      </c>
      <c r="B289">
        <v>1</v>
      </c>
      <c r="C289">
        <v>750</v>
      </c>
      <c r="D289">
        <v>910</v>
      </c>
      <c r="E289">
        <v>1</v>
      </c>
      <c r="F289" t="s">
        <v>15</v>
      </c>
      <c r="G289" t="b">
        <v>0</v>
      </c>
      <c r="H289">
        <v>1</v>
      </c>
      <c r="I289" t="b">
        <v>0</v>
      </c>
      <c r="J289">
        <v>14707.796964040501</v>
      </c>
      <c r="K289">
        <v>91721.218538590401</v>
      </c>
      <c r="L289" s="3">
        <v>6.2362309435493302</v>
      </c>
      <c r="M289">
        <v>2.91</v>
      </c>
      <c r="N289">
        <v>14.67</v>
      </c>
      <c r="O289">
        <v>125.65</v>
      </c>
      <c r="P289" s="8"/>
      <c r="Q289" s="8"/>
    </row>
    <row r="290" spans="1:18" x14ac:dyDescent="0.2">
      <c r="A290" t="s">
        <v>314</v>
      </c>
      <c r="B290">
        <v>1</v>
      </c>
      <c r="C290">
        <v>750</v>
      </c>
      <c r="D290">
        <v>910</v>
      </c>
      <c r="E290">
        <v>1</v>
      </c>
      <c r="F290" t="s">
        <v>15</v>
      </c>
      <c r="G290" t="b">
        <v>0</v>
      </c>
      <c r="H290">
        <v>1</v>
      </c>
      <c r="I290" t="b">
        <v>0</v>
      </c>
      <c r="J290">
        <v>14155.507459472101</v>
      </c>
      <c r="K290">
        <v>89125.189223087698</v>
      </c>
      <c r="L290" s="3">
        <v>6.2961493594106104</v>
      </c>
      <c r="M290">
        <v>3.16</v>
      </c>
      <c r="N290">
        <v>13.03</v>
      </c>
      <c r="O290">
        <v>113.94</v>
      </c>
      <c r="P290" s="8"/>
      <c r="Q290" s="8"/>
    </row>
    <row r="291" spans="1:18" x14ac:dyDescent="0.2">
      <c r="A291" t="s">
        <v>315</v>
      </c>
      <c r="B291">
        <v>1</v>
      </c>
      <c r="C291">
        <v>750</v>
      </c>
      <c r="D291">
        <v>910</v>
      </c>
      <c r="E291">
        <v>1</v>
      </c>
      <c r="F291" t="s">
        <v>15</v>
      </c>
      <c r="G291" t="b">
        <v>0</v>
      </c>
      <c r="H291">
        <v>1</v>
      </c>
      <c r="I291" t="b">
        <v>0</v>
      </c>
      <c r="J291">
        <v>17625.914085216202</v>
      </c>
      <c r="K291">
        <v>101975.74332253799</v>
      </c>
      <c r="L291" s="3">
        <v>5.7855577208373301</v>
      </c>
      <c r="M291">
        <v>3.09</v>
      </c>
      <c r="N291">
        <v>16.29</v>
      </c>
      <c r="O291">
        <v>133.22</v>
      </c>
      <c r="P291" s="8"/>
      <c r="Q291" s="8"/>
    </row>
    <row r="292" spans="1:18" x14ac:dyDescent="0.2">
      <c r="A292" s="1" t="s">
        <v>316</v>
      </c>
      <c r="B292" s="1">
        <v>1</v>
      </c>
      <c r="C292" s="1">
        <v>750</v>
      </c>
      <c r="D292" s="1">
        <v>910</v>
      </c>
      <c r="E292" s="1">
        <v>1</v>
      </c>
      <c r="F292" s="1" t="s">
        <v>15</v>
      </c>
      <c r="G292" s="1" t="b">
        <v>0</v>
      </c>
      <c r="H292" s="1">
        <v>1</v>
      </c>
      <c r="I292" s="1" t="b">
        <v>0</v>
      </c>
      <c r="J292" s="1">
        <v>12399.3971845741</v>
      </c>
      <c r="K292" s="1">
        <v>82275.363602641504</v>
      </c>
      <c r="L292" s="4">
        <v>6.6354325438496797</v>
      </c>
      <c r="M292" s="1">
        <v>2.96</v>
      </c>
      <c r="N292" s="1">
        <v>12.11</v>
      </c>
      <c r="O292" s="1">
        <v>109.9</v>
      </c>
      <c r="P292" s="9">
        <f>AVERAGE(L286:L292)</f>
        <v>6.1343996938514129</v>
      </c>
      <c r="Q292" s="9">
        <f>STDEV(L286:L292)</f>
        <v>0.31949746063411349</v>
      </c>
      <c r="R292">
        <f>COUNTA(L286:L292)</f>
        <v>7</v>
      </c>
    </row>
    <row r="293" spans="1:18" x14ac:dyDescent="0.2">
      <c r="A293" t="s">
        <v>317</v>
      </c>
      <c r="B293">
        <v>1</v>
      </c>
      <c r="C293">
        <v>750</v>
      </c>
      <c r="D293">
        <v>910</v>
      </c>
      <c r="E293">
        <v>1</v>
      </c>
      <c r="F293" t="s">
        <v>15</v>
      </c>
      <c r="G293" t="b">
        <v>0</v>
      </c>
      <c r="H293">
        <v>1</v>
      </c>
      <c r="I293" t="b">
        <v>0</v>
      </c>
      <c r="J293">
        <v>8918.2931582837591</v>
      </c>
      <c r="K293">
        <v>64184.918048053303</v>
      </c>
      <c r="L293" s="3">
        <v>7.1969957601623697</v>
      </c>
      <c r="M293">
        <v>2.4500000000000002</v>
      </c>
      <c r="N293">
        <v>11.02</v>
      </c>
      <c r="O293">
        <v>106.14</v>
      </c>
      <c r="P293" s="8"/>
      <c r="Q293" s="8"/>
    </row>
    <row r="294" spans="1:18" x14ac:dyDescent="0.2">
      <c r="A294" t="s">
        <v>318</v>
      </c>
      <c r="B294">
        <v>1</v>
      </c>
      <c r="C294">
        <v>750</v>
      </c>
      <c r="D294">
        <v>910</v>
      </c>
      <c r="E294">
        <v>1</v>
      </c>
      <c r="F294" t="s">
        <v>15</v>
      </c>
      <c r="G294" t="b">
        <v>0</v>
      </c>
      <c r="H294">
        <v>1</v>
      </c>
      <c r="I294" t="b">
        <v>0</v>
      </c>
      <c r="J294">
        <v>8731.1577031164707</v>
      </c>
      <c r="K294">
        <v>63400.623857964398</v>
      </c>
      <c r="L294" s="3">
        <v>7.2614223696056204</v>
      </c>
      <c r="M294">
        <v>2.06</v>
      </c>
      <c r="N294">
        <v>12.94</v>
      </c>
      <c r="O294">
        <v>125.48</v>
      </c>
      <c r="P294" s="8"/>
      <c r="Q294" s="8"/>
    </row>
    <row r="295" spans="1:18" x14ac:dyDescent="0.2">
      <c r="A295" t="s">
        <v>319</v>
      </c>
      <c r="B295">
        <v>1</v>
      </c>
      <c r="C295">
        <v>750</v>
      </c>
      <c r="D295">
        <v>910</v>
      </c>
      <c r="E295">
        <v>1</v>
      </c>
      <c r="F295" t="s">
        <v>15</v>
      </c>
      <c r="G295" t="b">
        <v>0</v>
      </c>
      <c r="H295">
        <v>1</v>
      </c>
      <c r="I295" t="b">
        <v>0</v>
      </c>
      <c r="J295">
        <v>9429.5711838386396</v>
      </c>
      <c r="K295">
        <v>64878.497490831804</v>
      </c>
      <c r="L295" s="3">
        <v>6.8803232115185802</v>
      </c>
      <c r="M295">
        <v>2.3199999999999998</v>
      </c>
      <c r="N295">
        <v>12.11</v>
      </c>
      <c r="O295">
        <v>116.47</v>
      </c>
      <c r="P295" s="8"/>
      <c r="Q295" s="8"/>
    </row>
    <row r="296" spans="1:18" x14ac:dyDescent="0.2">
      <c r="A296" t="s">
        <v>320</v>
      </c>
      <c r="B296">
        <v>1</v>
      </c>
      <c r="C296">
        <v>750</v>
      </c>
      <c r="D296">
        <v>910</v>
      </c>
      <c r="E296">
        <v>1</v>
      </c>
      <c r="F296" t="s">
        <v>15</v>
      </c>
      <c r="G296" t="b">
        <v>0</v>
      </c>
      <c r="H296">
        <v>1</v>
      </c>
      <c r="I296" t="b">
        <v>0</v>
      </c>
      <c r="J296">
        <v>9870.6894155460395</v>
      </c>
      <c r="K296">
        <v>67144.583116311303</v>
      </c>
      <c r="L296" s="3">
        <v>6.8024208127307304</v>
      </c>
      <c r="M296">
        <v>2.19</v>
      </c>
      <c r="N296">
        <v>13.13</v>
      </c>
      <c r="O296">
        <v>125.36</v>
      </c>
      <c r="P296" s="8"/>
      <c r="Q296" s="8"/>
    </row>
    <row r="297" spans="1:18" x14ac:dyDescent="0.2">
      <c r="A297" t="s">
        <v>321</v>
      </c>
      <c r="B297">
        <v>1</v>
      </c>
      <c r="C297">
        <v>750</v>
      </c>
      <c r="D297">
        <v>910</v>
      </c>
      <c r="E297">
        <v>1</v>
      </c>
      <c r="F297" t="s">
        <v>15</v>
      </c>
      <c r="G297" t="b">
        <v>0</v>
      </c>
      <c r="H297">
        <v>1</v>
      </c>
      <c r="I297" t="b">
        <v>1</v>
      </c>
      <c r="J297">
        <v>14871.399553306501</v>
      </c>
      <c r="K297">
        <v>110818.726317787</v>
      </c>
      <c r="L297" s="3">
        <v>7.4518020930415796</v>
      </c>
      <c r="M297">
        <v>3.36</v>
      </c>
      <c r="N297">
        <v>13.39</v>
      </c>
      <c r="O297">
        <v>131.59</v>
      </c>
      <c r="P297" s="8"/>
      <c r="Q297" s="8"/>
    </row>
    <row r="298" spans="1:18" x14ac:dyDescent="0.2">
      <c r="A298" t="s">
        <v>322</v>
      </c>
      <c r="B298">
        <v>1</v>
      </c>
      <c r="C298">
        <v>750</v>
      </c>
      <c r="D298">
        <v>910</v>
      </c>
      <c r="E298">
        <v>1</v>
      </c>
      <c r="F298" t="s">
        <v>15</v>
      </c>
      <c r="G298" t="b">
        <v>0</v>
      </c>
      <c r="H298">
        <v>1</v>
      </c>
      <c r="I298" t="b">
        <v>0</v>
      </c>
      <c r="J298">
        <v>19606.4103852997</v>
      </c>
      <c r="K298">
        <v>135536.61933147599</v>
      </c>
      <c r="L298" s="3">
        <v>6.9128727119318603</v>
      </c>
      <c r="M298">
        <v>3.66</v>
      </c>
      <c r="N298">
        <v>15.87</v>
      </c>
      <c r="O298">
        <v>148.97</v>
      </c>
      <c r="P298" s="8"/>
      <c r="Q298" s="8"/>
    </row>
    <row r="299" spans="1:18" x14ac:dyDescent="0.2">
      <c r="A299" t="s">
        <v>323</v>
      </c>
      <c r="B299">
        <v>1</v>
      </c>
      <c r="C299">
        <v>750</v>
      </c>
      <c r="D299">
        <v>910</v>
      </c>
      <c r="E299">
        <v>1</v>
      </c>
      <c r="F299" t="s">
        <v>15</v>
      </c>
      <c r="G299" t="b">
        <v>0</v>
      </c>
      <c r="H299">
        <v>1</v>
      </c>
      <c r="I299" t="b">
        <v>0</v>
      </c>
      <c r="J299">
        <v>18340.356968500098</v>
      </c>
      <c r="K299">
        <v>132834.63484563699</v>
      </c>
      <c r="L299" s="3">
        <v>7.2427507858098297</v>
      </c>
      <c r="M299">
        <v>3.23</v>
      </c>
      <c r="N299">
        <v>16.59</v>
      </c>
      <c r="O299">
        <v>163.84</v>
      </c>
      <c r="P299" s="8"/>
      <c r="Q299" s="8"/>
    </row>
    <row r="300" spans="1:18" x14ac:dyDescent="0.2">
      <c r="A300" t="s">
        <v>324</v>
      </c>
      <c r="B300">
        <v>1</v>
      </c>
      <c r="C300">
        <v>750</v>
      </c>
      <c r="D300">
        <v>910</v>
      </c>
      <c r="E300">
        <v>1</v>
      </c>
      <c r="F300" t="s">
        <v>15</v>
      </c>
      <c r="G300" t="b">
        <v>0</v>
      </c>
      <c r="H300">
        <v>1</v>
      </c>
      <c r="I300" t="b">
        <v>0</v>
      </c>
      <c r="J300">
        <v>17171.707462955201</v>
      </c>
      <c r="K300">
        <v>124127.657669448</v>
      </c>
      <c r="L300" s="3">
        <v>7.2286147395202498</v>
      </c>
      <c r="M300">
        <v>3.14</v>
      </c>
      <c r="N300">
        <v>16.52</v>
      </c>
      <c r="O300">
        <v>168.55</v>
      </c>
      <c r="P300" s="8"/>
      <c r="Q300" s="8"/>
    </row>
    <row r="301" spans="1:18" x14ac:dyDescent="0.2">
      <c r="A301" t="s">
        <v>325</v>
      </c>
      <c r="B301">
        <v>1</v>
      </c>
      <c r="C301">
        <v>750</v>
      </c>
      <c r="D301">
        <v>910</v>
      </c>
      <c r="E301">
        <v>1</v>
      </c>
      <c r="F301" t="s">
        <v>15</v>
      </c>
      <c r="G301" t="b">
        <v>0</v>
      </c>
      <c r="H301">
        <v>1</v>
      </c>
      <c r="I301" t="b">
        <v>0</v>
      </c>
      <c r="J301">
        <v>17858.562457671302</v>
      </c>
      <c r="K301">
        <v>127927.25337447099</v>
      </c>
      <c r="L301" s="3">
        <v>7.1633567190912597</v>
      </c>
      <c r="M301">
        <v>3.22</v>
      </c>
      <c r="N301">
        <v>16.62</v>
      </c>
      <c r="O301">
        <v>166.13</v>
      </c>
      <c r="P301" s="8"/>
      <c r="Q301" s="8"/>
    </row>
    <row r="302" spans="1:18" x14ac:dyDescent="0.2">
      <c r="A302" t="s">
        <v>326</v>
      </c>
      <c r="B302">
        <v>1</v>
      </c>
      <c r="C302">
        <v>750</v>
      </c>
      <c r="D302">
        <v>910</v>
      </c>
      <c r="E302">
        <v>1</v>
      </c>
      <c r="F302" t="s">
        <v>15</v>
      </c>
      <c r="G302" t="b">
        <v>0</v>
      </c>
      <c r="H302">
        <v>1</v>
      </c>
      <c r="I302" t="b">
        <v>0</v>
      </c>
      <c r="J302">
        <v>18928.387185281401</v>
      </c>
      <c r="K302">
        <v>134612.219031521</v>
      </c>
      <c r="L302" s="3">
        <v>7.11165815205824</v>
      </c>
      <c r="M302">
        <v>2.83</v>
      </c>
      <c r="N302">
        <v>19.239999999999998</v>
      </c>
      <c r="O302">
        <v>199.69</v>
      </c>
      <c r="P302" s="8"/>
      <c r="Q302" s="8"/>
    </row>
    <row r="303" spans="1:18" x14ac:dyDescent="0.2">
      <c r="A303" t="s">
        <v>327</v>
      </c>
      <c r="B303">
        <v>1</v>
      </c>
      <c r="C303">
        <v>750</v>
      </c>
      <c r="D303">
        <v>910</v>
      </c>
      <c r="E303">
        <v>1</v>
      </c>
      <c r="F303" t="s">
        <v>15</v>
      </c>
      <c r="G303" t="b">
        <v>0</v>
      </c>
      <c r="H303">
        <v>1</v>
      </c>
      <c r="I303" t="b">
        <v>1</v>
      </c>
      <c r="J303">
        <v>14999.6899105994</v>
      </c>
      <c r="K303">
        <v>113436.644037362</v>
      </c>
      <c r="L303" s="3">
        <v>7.5625992746158897</v>
      </c>
      <c r="M303">
        <v>3.26</v>
      </c>
      <c r="N303">
        <v>13.95</v>
      </c>
      <c r="O303">
        <v>144.44999999999999</v>
      </c>
      <c r="P303" s="8"/>
      <c r="Q303" s="8"/>
    </row>
    <row r="304" spans="1:18" x14ac:dyDescent="0.2">
      <c r="A304" s="1" t="s">
        <v>328</v>
      </c>
      <c r="B304" s="1">
        <v>1</v>
      </c>
      <c r="C304" s="1">
        <v>750</v>
      </c>
      <c r="D304" s="1">
        <v>910</v>
      </c>
      <c r="E304" s="1">
        <v>1</v>
      </c>
      <c r="F304" s="1" t="s">
        <v>15</v>
      </c>
      <c r="G304" s="1" t="b">
        <v>0</v>
      </c>
      <c r="H304" s="1">
        <v>1</v>
      </c>
      <c r="I304" s="1" t="b">
        <v>0</v>
      </c>
      <c r="J304" s="1">
        <v>16581.6021220818</v>
      </c>
      <c r="K304" s="1">
        <v>121675.86343801</v>
      </c>
      <c r="L304" s="4">
        <v>7.3380040446135997</v>
      </c>
      <c r="M304" s="1">
        <v>2.64</v>
      </c>
      <c r="N304" s="1">
        <v>18.489999999999998</v>
      </c>
      <c r="O304" s="1">
        <v>193.53</v>
      </c>
      <c r="P304" s="9">
        <f>AVERAGE(L298:L304)</f>
        <v>7.2228366325201332</v>
      </c>
      <c r="Q304" s="9">
        <f>STDEV(L293:L304)</f>
        <v>0.22705944215403734</v>
      </c>
      <c r="R304">
        <f>COUNTA(L293:L304)</f>
        <v>12</v>
      </c>
    </row>
    <row r="305" spans="1:18" x14ac:dyDescent="0.2">
      <c r="A305" t="s">
        <v>329</v>
      </c>
      <c r="B305">
        <v>1</v>
      </c>
      <c r="C305">
        <v>750</v>
      </c>
      <c r="D305">
        <v>910</v>
      </c>
      <c r="E305">
        <v>1</v>
      </c>
      <c r="F305" t="s">
        <v>15</v>
      </c>
      <c r="G305" t="b">
        <v>0</v>
      </c>
      <c r="H305">
        <v>1</v>
      </c>
      <c r="I305" t="b">
        <v>0</v>
      </c>
      <c r="J305">
        <v>12975.0672230735</v>
      </c>
      <c r="K305">
        <v>36079.933546769302</v>
      </c>
      <c r="L305" s="3">
        <v>2.78071264884148</v>
      </c>
      <c r="M305">
        <v>2.65</v>
      </c>
      <c r="N305">
        <v>16.149999999999999</v>
      </c>
      <c r="O305">
        <v>57.04</v>
      </c>
      <c r="P305" s="8"/>
      <c r="Q305" s="8"/>
    </row>
    <row r="306" spans="1:18" x14ac:dyDescent="0.2">
      <c r="A306" t="s">
        <v>330</v>
      </c>
      <c r="B306">
        <v>1</v>
      </c>
      <c r="C306">
        <v>750</v>
      </c>
      <c r="D306">
        <v>910</v>
      </c>
      <c r="E306">
        <v>1</v>
      </c>
      <c r="F306" t="s">
        <v>15</v>
      </c>
      <c r="G306" t="b">
        <v>0</v>
      </c>
      <c r="H306">
        <v>1</v>
      </c>
      <c r="I306" t="b">
        <v>0</v>
      </c>
      <c r="J306">
        <v>5517.63327897206</v>
      </c>
      <c r="K306">
        <v>12669.7246456947</v>
      </c>
      <c r="L306" s="3">
        <v>2.2962244870422199</v>
      </c>
      <c r="M306">
        <v>1.62</v>
      </c>
      <c r="N306">
        <v>11.24</v>
      </c>
      <c r="O306">
        <v>35.11</v>
      </c>
      <c r="P306" s="8"/>
      <c r="Q306" s="8"/>
    </row>
    <row r="307" spans="1:18" x14ac:dyDescent="0.2">
      <c r="A307" t="s">
        <v>331</v>
      </c>
      <c r="B307">
        <v>1</v>
      </c>
      <c r="C307">
        <v>750</v>
      </c>
      <c r="D307">
        <v>910</v>
      </c>
      <c r="E307">
        <v>1</v>
      </c>
      <c r="F307" t="s">
        <v>15</v>
      </c>
      <c r="G307" t="b">
        <v>0</v>
      </c>
      <c r="H307">
        <v>1</v>
      </c>
      <c r="I307" t="b">
        <v>0</v>
      </c>
      <c r="J307">
        <v>14084.056836890501</v>
      </c>
      <c r="K307">
        <v>36624.767448012797</v>
      </c>
      <c r="L307" s="3">
        <v>2.6004416108348201</v>
      </c>
      <c r="M307">
        <v>2.56</v>
      </c>
      <c r="N307">
        <v>18.059999999999999</v>
      </c>
      <c r="O307">
        <v>61.92</v>
      </c>
      <c r="P307" s="8"/>
      <c r="Q307" s="8"/>
    </row>
    <row r="308" spans="1:18" x14ac:dyDescent="0.2">
      <c r="A308" t="s">
        <v>332</v>
      </c>
      <c r="B308">
        <v>1</v>
      </c>
      <c r="C308">
        <v>750</v>
      </c>
      <c r="D308">
        <v>910</v>
      </c>
      <c r="E308">
        <v>1</v>
      </c>
      <c r="F308" t="s">
        <v>15</v>
      </c>
      <c r="G308" t="b">
        <v>0</v>
      </c>
      <c r="H308">
        <v>1</v>
      </c>
      <c r="I308" t="b">
        <v>0</v>
      </c>
      <c r="J308">
        <v>9812.2766257541498</v>
      </c>
      <c r="K308">
        <v>26449.669141675899</v>
      </c>
      <c r="L308" s="3">
        <v>2.6955690458475101</v>
      </c>
      <c r="M308">
        <v>2.17</v>
      </c>
      <c r="N308">
        <v>14.96</v>
      </c>
      <c r="O308">
        <v>52.45</v>
      </c>
      <c r="P308" s="8"/>
      <c r="Q308" s="8"/>
    </row>
    <row r="309" spans="1:18" x14ac:dyDescent="0.2">
      <c r="A309" t="s">
        <v>333</v>
      </c>
      <c r="B309">
        <v>1</v>
      </c>
      <c r="C309">
        <v>750</v>
      </c>
      <c r="D309">
        <v>910</v>
      </c>
      <c r="E309">
        <v>1</v>
      </c>
      <c r="F309" t="s">
        <v>15</v>
      </c>
      <c r="G309" t="b">
        <v>0</v>
      </c>
      <c r="H309">
        <v>1</v>
      </c>
      <c r="I309" t="b">
        <v>0</v>
      </c>
      <c r="J309">
        <v>10763.1016000046</v>
      </c>
      <c r="K309">
        <v>29524.327834965199</v>
      </c>
      <c r="L309" s="3">
        <v>2.74310593100342</v>
      </c>
      <c r="M309">
        <v>2.16</v>
      </c>
      <c r="N309">
        <v>16.53</v>
      </c>
      <c r="O309">
        <v>59.15</v>
      </c>
      <c r="P309" s="8"/>
      <c r="Q309" s="8"/>
    </row>
    <row r="310" spans="1:18" x14ac:dyDescent="0.2">
      <c r="A310" t="s">
        <v>334</v>
      </c>
      <c r="B310">
        <v>1</v>
      </c>
      <c r="C310">
        <v>750</v>
      </c>
      <c r="D310">
        <v>910</v>
      </c>
      <c r="E310">
        <v>1</v>
      </c>
      <c r="F310" t="s">
        <v>15</v>
      </c>
      <c r="G310" t="b">
        <v>0</v>
      </c>
      <c r="H310">
        <v>1</v>
      </c>
      <c r="I310" t="b">
        <v>0</v>
      </c>
      <c r="J310">
        <v>11280.176392507799</v>
      </c>
      <c r="K310">
        <v>32087.227303456701</v>
      </c>
      <c r="L310" s="3">
        <v>2.8445678672869699</v>
      </c>
      <c r="M310">
        <v>2.7</v>
      </c>
      <c r="N310">
        <v>13.5</v>
      </c>
      <c r="O310">
        <v>48.66</v>
      </c>
      <c r="P310" s="8"/>
      <c r="Q310" s="8"/>
    </row>
    <row r="311" spans="1:18" x14ac:dyDescent="0.2">
      <c r="A311" t="s">
        <v>335</v>
      </c>
      <c r="B311">
        <v>1</v>
      </c>
      <c r="C311">
        <v>750</v>
      </c>
      <c r="D311">
        <v>910</v>
      </c>
      <c r="E311">
        <v>1</v>
      </c>
      <c r="F311" t="s">
        <v>15</v>
      </c>
      <c r="G311" t="b">
        <v>0</v>
      </c>
      <c r="H311">
        <v>1</v>
      </c>
      <c r="I311" t="b">
        <v>1</v>
      </c>
      <c r="J311">
        <v>11830.9349168685</v>
      </c>
      <c r="K311">
        <v>33648.124567061597</v>
      </c>
      <c r="L311" s="3">
        <v>2.84407993142504</v>
      </c>
      <c r="M311">
        <v>1.86</v>
      </c>
      <c r="N311">
        <v>20.65</v>
      </c>
      <c r="O311">
        <v>76.34</v>
      </c>
      <c r="P311" s="8"/>
      <c r="Q311" s="8"/>
    </row>
    <row r="312" spans="1:18" x14ac:dyDescent="0.2">
      <c r="A312" s="1" t="s">
        <v>336</v>
      </c>
      <c r="B312" s="1">
        <v>1</v>
      </c>
      <c r="C312" s="1">
        <v>750</v>
      </c>
      <c r="D312" s="1">
        <v>910</v>
      </c>
      <c r="E312" s="1">
        <v>1</v>
      </c>
      <c r="F312" s="1" t="s">
        <v>15</v>
      </c>
      <c r="G312" s="1" t="b">
        <v>0</v>
      </c>
      <c r="H312" s="1">
        <v>1</v>
      </c>
      <c r="I312" s="1" t="b">
        <v>0</v>
      </c>
      <c r="J312" s="1">
        <v>11718.195134412401</v>
      </c>
      <c r="K312" s="1">
        <v>31525.270031286698</v>
      </c>
      <c r="L312" s="4">
        <v>2.6902837569846798</v>
      </c>
      <c r="M312" s="1">
        <v>2.16</v>
      </c>
      <c r="N312" s="1">
        <v>17.59</v>
      </c>
      <c r="O312" s="1">
        <v>63.36</v>
      </c>
      <c r="P312" s="9">
        <f>AVERAGE(L305:L312)</f>
        <v>2.6868731599082674</v>
      </c>
      <c r="Q312" s="9">
        <f>STDEV(L305:L312)</f>
        <v>0.17797014712192347</v>
      </c>
      <c r="R312">
        <f>COUNTA(L305:L312)</f>
        <v>8</v>
      </c>
    </row>
    <row r="313" spans="1:18" x14ac:dyDescent="0.2">
      <c r="A313" t="s">
        <v>337</v>
      </c>
      <c r="B313">
        <v>1</v>
      </c>
      <c r="C313">
        <v>750</v>
      </c>
      <c r="D313">
        <v>910</v>
      </c>
      <c r="E313">
        <v>1</v>
      </c>
      <c r="F313" t="s">
        <v>15</v>
      </c>
      <c r="G313" t="b">
        <v>0</v>
      </c>
      <c r="H313">
        <v>1</v>
      </c>
      <c r="I313" t="b">
        <v>0</v>
      </c>
      <c r="J313">
        <v>9434.1046354945793</v>
      </c>
      <c r="K313">
        <v>46698.453607607902</v>
      </c>
      <c r="L313" s="3">
        <v>4.9499613807452496</v>
      </c>
      <c r="M313">
        <v>2.54</v>
      </c>
      <c r="N313">
        <v>12.11</v>
      </c>
      <c r="O313">
        <v>74.989999999999995</v>
      </c>
      <c r="P313" s="8"/>
      <c r="Q313" s="8"/>
    </row>
    <row r="314" spans="1:18" x14ac:dyDescent="0.2">
      <c r="A314" t="s">
        <v>338</v>
      </c>
      <c r="B314">
        <v>1</v>
      </c>
      <c r="C314">
        <v>750</v>
      </c>
      <c r="D314">
        <v>910</v>
      </c>
      <c r="E314">
        <v>1</v>
      </c>
      <c r="F314" t="s">
        <v>15</v>
      </c>
      <c r="G314" t="b">
        <v>0</v>
      </c>
      <c r="H314">
        <v>1</v>
      </c>
      <c r="I314" t="b">
        <v>0</v>
      </c>
      <c r="J314">
        <v>9913.1787991329802</v>
      </c>
      <c r="K314">
        <v>48138.384114729597</v>
      </c>
      <c r="L314" s="3">
        <v>4.8559987759869596</v>
      </c>
      <c r="M314">
        <v>2.6</v>
      </c>
      <c r="N314">
        <v>12.23</v>
      </c>
      <c r="O314">
        <v>77.239999999999995</v>
      </c>
      <c r="P314" s="8"/>
      <c r="Q314" s="8"/>
    </row>
    <row r="315" spans="1:18" x14ac:dyDescent="0.2">
      <c r="A315" t="s">
        <v>339</v>
      </c>
      <c r="B315">
        <v>1</v>
      </c>
      <c r="C315">
        <v>750</v>
      </c>
      <c r="D315">
        <v>910</v>
      </c>
      <c r="E315">
        <v>1</v>
      </c>
      <c r="F315" t="s">
        <v>15</v>
      </c>
      <c r="G315" t="b">
        <v>0</v>
      </c>
      <c r="H315">
        <v>1</v>
      </c>
      <c r="I315" t="b">
        <v>0</v>
      </c>
      <c r="J315">
        <v>8971.5392875750003</v>
      </c>
      <c r="K315">
        <v>44255.797445508499</v>
      </c>
      <c r="L315" s="3">
        <v>4.9329101759382397</v>
      </c>
      <c r="M315">
        <v>2.09</v>
      </c>
      <c r="N315">
        <v>13.87</v>
      </c>
      <c r="O315">
        <v>87.84</v>
      </c>
      <c r="P315" s="8"/>
      <c r="Q315" s="8"/>
    </row>
    <row r="316" spans="1:18" x14ac:dyDescent="0.2">
      <c r="A316" t="s">
        <v>340</v>
      </c>
      <c r="B316">
        <v>1</v>
      </c>
      <c r="C316">
        <v>750</v>
      </c>
      <c r="D316">
        <v>910</v>
      </c>
      <c r="E316">
        <v>1</v>
      </c>
      <c r="F316" t="s">
        <v>15</v>
      </c>
      <c r="G316" t="b">
        <v>0</v>
      </c>
      <c r="H316">
        <v>1</v>
      </c>
      <c r="I316" t="b">
        <v>1</v>
      </c>
      <c r="J316">
        <v>10199.894283498001</v>
      </c>
      <c r="K316">
        <v>50534.611401922797</v>
      </c>
      <c r="L316" s="3">
        <v>4.9544250163141896</v>
      </c>
      <c r="M316">
        <v>1.76</v>
      </c>
      <c r="N316">
        <v>18.899999999999999</v>
      </c>
      <c r="O316">
        <v>121.24</v>
      </c>
      <c r="P316" s="8"/>
      <c r="Q316" s="8"/>
    </row>
    <row r="317" spans="1:18" x14ac:dyDescent="0.2">
      <c r="A317" t="s">
        <v>341</v>
      </c>
      <c r="B317">
        <v>1</v>
      </c>
      <c r="C317">
        <v>750</v>
      </c>
      <c r="D317">
        <v>910</v>
      </c>
      <c r="E317">
        <v>1</v>
      </c>
      <c r="F317" t="s">
        <v>15</v>
      </c>
      <c r="G317" t="b">
        <v>0</v>
      </c>
      <c r="H317">
        <v>1</v>
      </c>
      <c r="I317" t="b">
        <v>0</v>
      </c>
      <c r="J317">
        <v>7925.6214337128704</v>
      </c>
      <c r="K317">
        <v>41928.614023134098</v>
      </c>
      <c r="L317" s="3">
        <v>5.2902620158949496</v>
      </c>
      <c r="M317">
        <v>2.23</v>
      </c>
      <c r="N317">
        <v>11.49</v>
      </c>
      <c r="O317">
        <v>76.599999999999994</v>
      </c>
      <c r="P317" s="8"/>
      <c r="Q317" s="8"/>
    </row>
    <row r="318" spans="1:18" x14ac:dyDescent="0.2">
      <c r="A318" t="s">
        <v>342</v>
      </c>
      <c r="B318">
        <v>1</v>
      </c>
      <c r="C318">
        <v>750</v>
      </c>
      <c r="D318">
        <v>910</v>
      </c>
      <c r="E318">
        <v>1</v>
      </c>
      <c r="F318" t="s">
        <v>15</v>
      </c>
      <c r="G318" t="b">
        <v>0</v>
      </c>
      <c r="H318">
        <v>1</v>
      </c>
      <c r="I318" t="b">
        <v>0</v>
      </c>
      <c r="J318">
        <v>10248.136219259401</v>
      </c>
      <c r="K318">
        <v>50869.973273709104</v>
      </c>
      <c r="L318" s="3">
        <v>4.9638268057082104</v>
      </c>
      <c r="M318">
        <v>2.29</v>
      </c>
      <c r="N318">
        <v>14.54</v>
      </c>
      <c r="O318">
        <v>92.05</v>
      </c>
      <c r="P318" s="9">
        <f>AVERAGE(L313:L318)</f>
        <v>4.9912306950979657</v>
      </c>
      <c r="Q318" s="9">
        <f>_xlfn.STDEV.P(L313:L318)</f>
        <v>0.13839404681961462</v>
      </c>
      <c r="R318">
        <f>COUNTA(L313:L318)</f>
        <v>6</v>
      </c>
    </row>
    <row r="319" spans="1:18" x14ac:dyDescent="0.2">
      <c r="A319" t="s">
        <v>343</v>
      </c>
      <c r="B319">
        <v>1</v>
      </c>
      <c r="C319">
        <v>750</v>
      </c>
      <c r="D319">
        <v>910</v>
      </c>
      <c r="E319">
        <v>1</v>
      </c>
      <c r="F319" t="s">
        <v>15</v>
      </c>
      <c r="G319" t="b">
        <v>0</v>
      </c>
      <c r="H319">
        <v>1</v>
      </c>
      <c r="I319" t="b">
        <v>1</v>
      </c>
      <c r="J319">
        <v>12666.0756165698</v>
      </c>
      <c r="K319">
        <v>55722.4497233203</v>
      </c>
      <c r="L319" s="3">
        <v>4.3993460492549099</v>
      </c>
      <c r="M319">
        <v>2.0699999999999998</v>
      </c>
      <c r="N319">
        <v>20.079999999999998</v>
      </c>
      <c r="O319">
        <v>108.86</v>
      </c>
      <c r="P319" s="8"/>
      <c r="Q319" s="8"/>
    </row>
    <row r="320" spans="1:18" x14ac:dyDescent="0.2">
      <c r="A320" t="s">
        <v>344</v>
      </c>
      <c r="B320">
        <v>1</v>
      </c>
      <c r="C320">
        <v>750</v>
      </c>
      <c r="D320">
        <v>910</v>
      </c>
      <c r="E320">
        <v>1</v>
      </c>
      <c r="F320" t="s">
        <v>15</v>
      </c>
      <c r="G320" t="b">
        <v>0</v>
      </c>
      <c r="H320">
        <v>1</v>
      </c>
      <c r="I320" t="b">
        <v>0</v>
      </c>
      <c r="J320">
        <v>5015.1142202926003</v>
      </c>
      <c r="K320">
        <v>22779.511385676298</v>
      </c>
      <c r="L320" s="3">
        <v>4.5421719994938199</v>
      </c>
      <c r="M320">
        <v>1.64</v>
      </c>
      <c r="N320">
        <v>9.9600000000000009</v>
      </c>
      <c r="O320">
        <v>55.75</v>
      </c>
      <c r="P320" s="8"/>
      <c r="Q320" s="8"/>
    </row>
    <row r="321" spans="1:18" x14ac:dyDescent="0.2">
      <c r="A321" t="s">
        <v>345</v>
      </c>
      <c r="B321">
        <v>1</v>
      </c>
      <c r="C321">
        <v>750</v>
      </c>
      <c r="D321">
        <v>910</v>
      </c>
      <c r="E321">
        <v>1</v>
      </c>
      <c r="F321" t="s">
        <v>15</v>
      </c>
      <c r="G321" t="b">
        <v>0</v>
      </c>
      <c r="H321">
        <v>1</v>
      </c>
      <c r="I321" t="b">
        <v>0</v>
      </c>
      <c r="J321">
        <v>5032.3551916260903</v>
      </c>
      <c r="K321">
        <v>24793.217259257799</v>
      </c>
      <c r="L321" s="3">
        <v>4.9267621849336303</v>
      </c>
      <c r="M321">
        <v>1.58</v>
      </c>
      <c r="N321">
        <v>10.3</v>
      </c>
      <c r="O321">
        <v>63.89</v>
      </c>
      <c r="P321" s="8"/>
      <c r="Q321" s="8"/>
    </row>
    <row r="322" spans="1:18" x14ac:dyDescent="0.2">
      <c r="A322" t="s">
        <v>346</v>
      </c>
      <c r="B322">
        <v>1</v>
      </c>
      <c r="C322">
        <v>750</v>
      </c>
      <c r="D322">
        <v>910</v>
      </c>
      <c r="E322">
        <v>1</v>
      </c>
      <c r="F322" t="s">
        <v>15</v>
      </c>
      <c r="G322" t="b">
        <v>0</v>
      </c>
      <c r="H322">
        <v>1</v>
      </c>
      <c r="I322" t="b">
        <v>0</v>
      </c>
      <c r="J322">
        <v>10280.386368379501</v>
      </c>
      <c r="K322">
        <v>49402.392776444103</v>
      </c>
      <c r="L322" s="3">
        <v>4.8054996190022701</v>
      </c>
      <c r="M322">
        <v>2.52</v>
      </c>
      <c r="N322">
        <v>13.24</v>
      </c>
      <c r="O322">
        <v>82.66</v>
      </c>
      <c r="P322" s="8"/>
      <c r="Q322" s="8"/>
    </row>
    <row r="323" spans="1:18" x14ac:dyDescent="0.2">
      <c r="A323" t="s">
        <v>347</v>
      </c>
      <c r="B323">
        <v>1</v>
      </c>
      <c r="C323">
        <v>750</v>
      </c>
      <c r="D323">
        <v>910</v>
      </c>
      <c r="E323">
        <v>1</v>
      </c>
      <c r="F323" t="s">
        <v>15</v>
      </c>
      <c r="G323" t="b">
        <v>0</v>
      </c>
      <c r="H323">
        <v>1</v>
      </c>
      <c r="I323" t="b">
        <v>0</v>
      </c>
      <c r="J323">
        <v>11783.0694646802</v>
      </c>
      <c r="K323">
        <v>58202.841823085</v>
      </c>
      <c r="L323" s="3">
        <v>4.9395314181544903</v>
      </c>
      <c r="M323">
        <v>2.25</v>
      </c>
      <c r="N323">
        <v>16.61</v>
      </c>
      <c r="O323">
        <v>106.44</v>
      </c>
      <c r="P323" s="8"/>
      <c r="Q323" s="8"/>
    </row>
    <row r="324" spans="1:18" x14ac:dyDescent="0.2">
      <c r="A324" t="s">
        <v>348</v>
      </c>
      <c r="B324">
        <v>1</v>
      </c>
      <c r="C324">
        <v>750</v>
      </c>
      <c r="D324">
        <v>910</v>
      </c>
      <c r="E324">
        <v>1</v>
      </c>
      <c r="F324" t="s">
        <v>15</v>
      </c>
      <c r="G324" t="b">
        <v>0</v>
      </c>
      <c r="H324">
        <v>1</v>
      </c>
      <c r="I324" t="b">
        <v>0</v>
      </c>
      <c r="J324">
        <v>10839.0636956043</v>
      </c>
      <c r="K324">
        <v>48865.324684789302</v>
      </c>
      <c r="L324" s="3">
        <v>4.5082606816496504</v>
      </c>
      <c r="M324">
        <v>2.81</v>
      </c>
      <c r="N324">
        <v>12.12</v>
      </c>
      <c r="O324">
        <v>72.569999999999993</v>
      </c>
      <c r="P324" s="8"/>
      <c r="Q324" s="8"/>
    </row>
    <row r="325" spans="1:18" x14ac:dyDescent="0.2">
      <c r="A325" t="s">
        <v>349</v>
      </c>
      <c r="B325">
        <v>1</v>
      </c>
      <c r="C325">
        <v>750</v>
      </c>
      <c r="D325">
        <v>910</v>
      </c>
      <c r="E325">
        <v>1</v>
      </c>
      <c r="F325" t="s">
        <v>15</v>
      </c>
      <c r="G325" t="b">
        <v>0</v>
      </c>
      <c r="H325">
        <v>1</v>
      </c>
      <c r="I325" t="b">
        <v>0</v>
      </c>
      <c r="J325">
        <v>9238.9333646633204</v>
      </c>
      <c r="K325">
        <v>47698.938771302397</v>
      </c>
      <c r="L325" s="3">
        <v>5.1628187896385596</v>
      </c>
      <c r="M325">
        <v>2.17</v>
      </c>
      <c r="N325">
        <v>13.83</v>
      </c>
      <c r="O325">
        <v>91.14</v>
      </c>
      <c r="P325" s="8"/>
      <c r="Q325" s="8"/>
    </row>
    <row r="326" spans="1:18" x14ac:dyDescent="0.2">
      <c r="A326" s="1" t="s">
        <v>350</v>
      </c>
      <c r="B326" s="1">
        <v>1</v>
      </c>
      <c r="C326" s="1">
        <v>750</v>
      </c>
      <c r="D326" s="1">
        <v>910</v>
      </c>
      <c r="E326" s="1">
        <v>1</v>
      </c>
      <c r="F326" s="1" t="s">
        <v>15</v>
      </c>
      <c r="G326" s="1" t="b">
        <v>0</v>
      </c>
      <c r="H326" s="1">
        <v>1</v>
      </c>
      <c r="I326" s="1" t="b">
        <v>0</v>
      </c>
      <c r="J326" s="1">
        <v>10522.1733339561</v>
      </c>
      <c r="K326" s="1">
        <v>51990.361837176199</v>
      </c>
      <c r="L326" s="4">
        <v>4.9410288337864303</v>
      </c>
      <c r="M326" s="1">
        <v>2.11</v>
      </c>
      <c r="N326" s="1">
        <v>15.91</v>
      </c>
      <c r="O326" s="1">
        <v>102.93</v>
      </c>
      <c r="P326" s="9">
        <f>AVERAGE(L319:L326)</f>
        <v>4.7781774469892202</v>
      </c>
      <c r="Q326" s="9">
        <f>STDEV(L319:L326)</f>
        <v>0.26602777123273513</v>
      </c>
      <c r="R326">
        <f>COUNTA(L319:L326)</f>
        <v>8</v>
      </c>
    </row>
    <row r="327" spans="1:18" x14ac:dyDescent="0.2">
      <c r="A327" t="s">
        <v>351</v>
      </c>
      <c r="B327">
        <v>1</v>
      </c>
      <c r="C327">
        <v>750</v>
      </c>
      <c r="D327">
        <v>910</v>
      </c>
      <c r="E327">
        <v>1</v>
      </c>
      <c r="F327" t="s">
        <v>15</v>
      </c>
      <c r="G327" t="b">
        <v>0</v>
      </c>
      <c r="H327">
        <v>1</v>
      </c>
      <c r="I327" t="b">
        <v>0</v>
      </c>
      <c r="J327">
        <v>13625.9449963842</v>
      </c>
      <c r="K327">
        <v>86801.447056893405</v>
      </c>
      <c r="L327" s="3">
        <v>6.3703065790979396</v>
      </c>
      <c r="M327">
        <v>2.2000000000000002</v>
      </c>
      <c r="N327">
        <v>19.739999999999998</v>
      </c>
      <c r="O327">
        <v>159.68</v>
      </c>
      <c r="P327" s="8"/>
      <c r="Q327" s="8"/>
    </row>
    <row r="328" spans="1:18" x14ac:dyDescent="0.2">
      <c r="A328" t="s">
        <v>352</v>
      </c>
      <c r="B328">
        <v>1</v>
      </c>
      <c r="C328">
        <v>750</v>
      </c>
      <c r="D328">
        <v>910</v>
      </c>
      <c r="E328">
        <v>1</v>
      </c>
      <c r="F328" t="s">
        <v>15</v>
      </c>
      <c r="G328" t="b">
        <v>0</v>
      </c>
      <c r="H328">
        <v>1</v>
      </c>
      <c r="I328" t="b">
        <v>0</v>
      </c>
      <c r="J328">
        <v>7712.7030492989697</v>
      </c>
      <c r="K328">
        <v>53392.0815972579</v>
      </c>
      <c r="L328" s="3">
        <v>6.9226160084188502</v>
      </c>
      <c r="M328">
        <v>1.94</v>
      </c>
      <c r="N328">
        <v>12.75</v>
      </c>
      <c r="O328">
        <v>113.41</v>
      </c>
      <c r="P328" s="8"/>
      <c r="Q328" s="8"/>
    </row>
    <row r="329" spans="1:18" x14ac:dyDescent="0.2">
      <c r="A329" t="s">
        <v>353</v>
      </c>
      <c r="B329">
        <v>1</v>
      </c>
      <c r="C329">
        <v>750</v>
      </c>
      <c r="D329">
        <v>910</v>
      </c>
      <c r="E329">
        <v>1</v>
      </c>
      <c r="F329" t="s">
        <v>15</v>
      </c>
      <c r="G329" t="b">
        <v>0</v>
      </c>
      <c r="H329">
        <v>1</v>
      </c>
      <c r="I329" t="b">
        <v>0</v>
      </c>
      <c r="J329">
        <v>9035.8482756875692</v>
      </c>
      <c r="K329">
        <v>63544.279747665198</v>
      </c>
      <c r="L329" s="3">
        <v>7.0324642257043504</v>
      </c>
      <c r="M329">
        <v>2.09</v>
      </c>
      <c r="N329">
        <v>13.7</v>
      </c>
      <c r="O329">
        <v>123.65</v>
      </c>
      <c r="P329" s="8"/>
      <c r="Q329" s="8"/>
    </row>
    <row r="330" spans="1:18" x14ac:dyDescent="0.2">
      <c r="A330" t="s">
        <v>354</v>
      </c>
      <c r="B330">
        <v>1</v>
      </c>
      <c r="C330">
        <v>750</v>
      </c>
      <c r="D330">
        <v>910</v>
      </c>
      <c r="E330">
        <v>1</v>
      </c>
      <c r="F330" t="s">
        <v>15</v>
      </c>
      <c r="G330" t="b">
        <v>0</v>
      </c>
      <c r="H330">
        <v>1</v>
      </c>
      <c r="I330" t="b">
        <v>0</v>
      </c>
      <c r="J330">
        <v>7828.15395249431</v>
      </c>
      <c r="K330">
        <v>57025.794577132801</v>
      </c>
      <c r="L330" s="3">
        <v>7.2847052987457603</v>
      </c>
      <c r="M330">
        <v>1.91</v>
      </c>
      <c r="N330">
        <v>13.35</v>
      </c>
      <c r="O330">
        <v>120.2</v>
      </c>
      <c r="P330" s="8"/>
      <c r="Q330" s="8"/>
    </row>
    <row r="331" spans="1:18" x14ac:dyDescent="0.2">
      <c r="A331" t="s">
        <v>355</v>
      </c>
      <c r="B331">
        <v>1</v>
      </c>
      <c r="C331">
        <v>750</v>
      </c>
      <c r="D331">
        <v>910</v>
      </c>
      <c r="E331">
        <v>1</v>
      </c>
      <c r="F331" t="s">
        <v>15</v>
      </c>
      <c r="G331" t="b">
        <v>0</v>
      </c>
      <c r="H331">
        <v>1</v>
      </c>
      <c r="I331" t="b">
        <v>0</v>
      </c>
      <c r="J331">
        <v>9374.1571895268899</v>
      </c>
      <c r="K331">
        <v>65066.951096201701</v>
      </c>
      <c r="L331" s="3">
        <v>6.9410987868751004</v>
      </c>
      <c r="M331">
        <v>2.21</v>
      </c>
      <c r="N331">
        <v>13.6</v>
      </c>
      <c r="O331">
        <v>118.02</v>
      </c>
      <c r="P331" s="8"/>
      <c r="Q331" s="8"/>
    </row>
    <row r="332" spans="1:18" x14ac:dyDescent="0.2">
      <c r="A332" s="1" t="s">
        <v>356</v>
      </c>
      <c r="B332" s="1">
        <v>1</v>
      </c>
      <c r="C332" s="1">
        <v>750</v>
      </c>
      <c r="D332" s="1">
        <v>910</v>
      </c>
      <c r="E332" s="1">
        <v>1</v>
      </c>
      <c r="F332" s="1" t="s">
        <v>15</v>
      </c>
      <c r="G332" s="1" t="b">
        <v>0</v>
      </c>
      <c r="H332" s="1">
        <v>1</v>
      </c>
      <c r="I332" s="1" t="b">
        <v>0</v>
      </c>
      <c r="J332" s="1">
        <v>14492.057503616001</v>
      </c>
      <c r="K332" s="1">
        <v>90153.953633726094</v>
      </c>
      <c r="L332" s="4">
        <v>6.2209216055919399</v>
      </c>
      <c r="M332" s="1">
        <v>2.5499999999999998</v>
      </c>
      <c r="N332" s="1">
        <v>18.23</v>
      </c>
      <c r="O332" s="1">
        <v>145.22999999999999</v>
      </c>
      <c r="P332" s="9">
        <f>AVERAGE(L327:L332)</f>
        <v>6.7953520840723236</v>
      </c>
      <c r="Q332" s="9">
        <f>STDEV(L327:L332)</f>
        <v>0.41079459591008355</v>
      </c>
      <c r="R332">
        <f>COUNTA(L327:L332)</f>
        <v>6</v>
      </c>
    </row>
    <row r="333" spans="1:18" x14ac:dyDescent="0.2">
      <c r="A333" t="s">
        <v>357</v>
      </c>
      <c r="B333">
        <v>1</v>
      </c>
      <c r="C333">
        <v>750</v>
      </c>
      <c r="D333">
        <v>910</v>
      </c>
      <c r="E333">
        <v>1</v>
      </c>
      <c r="F333" t="s">
        <v>15</v>
      </c>
      <c r="G333" t="b">
        <v>0</v>
      </c>
      <c r="H333">
        <v>1</v>
      </c>
      <c r="I333" t="b">
        <v>0</v>
      </c>
      <c r="J333">
        <v>19177.193719200601</v>
      </c>
      <c r="K333">
        <v>138145.987318475</v>
      </c>
      <c r="L333" s="3">
        <v>7.2036602091660704</v>
      </c>
      <c r="M333">
        <v>3.15</v>
      </c>
      <c r="N333">
        <v>18.670000000000002</v>
      </c>
      <c r="O333">
        <v>181.87</v>
      </c>
      <c r="P333" s="8"/>
      <c r="Q333" s="8"/>
    </row>
    <row r="334" spans="1:18" x14ac:dyDescent="0.2">
      <c r="A334" t="s">
        <v>358</v>
      </c>
      <c r="B334">
        <v>1</v>
      </c>
      <c r="C334">
        <v>750</v>
      </c>
      <c r="D334">
        <v>910</v>
      </c>
      <c r="E334">
        <v>1</v>
      </c>
      <c r="F334" t="s">
        <v>15</v>
      </c>
      <c r="G334" t="b">
        <v>0</v>
      </c>
      <c r="H334">
        <v>1</v>
      </c>
      <c r="I334" t="b">
        <v>0</v>
      </c>
      <c r="J334">
        <v>14706.8861002024</v>
      </c>
      <c r="K334">
        <v>115269.796389205</v>
      </c>
      <c r="L334" s="3">
        <v>7.8378111861230897</v>
      </c>
      <c r="M334">
        <v>2.64</v>
      </c>
      <c r="N334">
        <v>17.5</v>
      </c>
      <c r="O334">
        <v>182.23</v>
      </c>
      <c r="P334" s="8"/>
      <c r="Q334" s="8"/>
    </row>
    <row r="335" spans="1:18" x14ac:dyDescent="0.2">
      <c r="A335" t="s">
        <v>359</v>
      </c>
      <c r="B335">
        <v>1</v>
      </c>
      <c r="C335">
        <v>750</v>
      </c>
      <c r="D335">
        <v>910</v>
      </c>
      <c r="E335">
        <v>1</v>
      </c>
      <c r="F335" t="s">
        <v>15</v>
      </c>
      <c r="G335" t="b">
        <v>0</v>
      </c>
      <c r="H335">
        <v>1</v>
      </c>
      <c r="I335" t="b">
        <v>0</v>
      </c>
      <c r="J335">
        <v>13381.408612920501</v>
      </c>
      <c r="K335">
        <v>104837.086496872</v>
      </c>
      <c r="L335" s="3">
        <v>7.8345329351683803</v>
      </c>
      <c r="M335">
        <v>2.81</v>
      </c>
      <c r="N335">
        <v>15.12</v>
      </c>
      <c r="O335">
        <v>155.01</v>
      </c>
      <c r="P335" s="8"/>
      <c r="Q335" s="8"/>
    </row>
    <row r="336" spans="1:18" x14ac:dyDescent="0.2">
      <c r="A336" t="s">
        <v>360</v>
      </c>
      <c r="B336">
        <v>1</v>
      </c>
      <c r="C336">
        <v>750</v>
      </c>
      <c r="D336">
        <v>910</v>
      </c>
      <c r="E336">
        <v>1</v>
      </c>
      <c r="F336" t="s">
        <v>15</v>
      </c>
      <c r="G336" t="b">
        <v>0</v>
      </c>
      <c r="H336">
        <v>1</v>
      </c>
      <c r="I336" t="b">
        <v>0</v>
      </c>
      <c r="J336">
        <v>19460.5101978926</v>
      </c>
      <c r="K336">
        <v>134081.24497964399</v>
      </c>
      <c r="L336" s="3">
        <v>6.8899141706040004</v>
      </c>
      <c r="M336">
        <v>2.93</v>
      </c>
      <c r="N336">
        <v>20.100000000000001</v>
      </c>
      <c r="O336">
        <v>189.47</v>
      </c>
      <c r="P336" s="8"/>
      <c r="Q336" s="8"/>
    </row>
    <row r="337" spans="1:18" x14ac:dyDescent="0.2">
      <c r="A337" t="s">
        <v>361</v>
      </c>
      <c r="B337">
        <v>1</v>
      </c>
      <c r="C337">
        <v>750</v>
      </c>
      <c r="D337">
        <v>910</v>
      </c>
      <c r="E337">
        <v>1</v>
      </c>
      <c r="F337" t="s">
        <v>15</v>
      </c>
      <c r="G337" t="b">
        <v>0</v>
      </c>
      <c r="H337">
        <v>1</v>
      </c>
      <c r="I337" t="b">
        <v>0</v>
      </c>
      <c r="J337">
        <v>16193.6600806075</v>
      </c>
      <c r="K337">
        <v>122567.150726293</v>
      </c>
      <c r="L337" s="3">
        <v>7.5688355885074001</v>
      </c>
      <c r="M337">
        <v>2.83</v>
      </c>
      <c r="N337">
        <v>17.670000000000002</v>
      </c>
      <c r="O337">
        <v>178.4</v>
      </c>
      <c r="P337" s="8"/>
      <c r="Q337" s="8"/>
    </row>
    <row r="338" spans="1:18" x14ac:dyDescent="0.2">
      <c r="A338" s="1" t="s">
        <v>362</v>
      </c>
      <c r="B338" s="1">
        <v>1</v>
      </c>
      <c r="C338" s="1">
        <v>750</v>
      </c>
      <c r="D338" s="1">
        <v>910</v>
      </c>
      <c r="E338" s="1">
        <v>1</v>
      </c>
      <c r="F338" s="1" t="s">
        <v>15</v>
      </c>
      <c r="G338" s="1" t="b">
        <v>0</v>
      </c>
      <c r="H338" s="1">
        <v>1</v>
      </c>
      <c r="I338" s="1" t="b">
        <v>0</v>
      </c>
      <c r="J338" s="1">
        <v>15191.894252411899</v>
      </c>
      <c r="K338" s="1">
        <v>118859.785926136</v>
      </c>
      <c r="L338" s="4">
        <v>7.8238950292367404</v>
      </c>
      <c r="M338" s="1">
        <v>2.99</v>
      </c>
      <c r="N338" s="1">
        <v>15.86</v>
      </c>
      <c r="O338" s="1">
        <v>165.18</v>
      </c>
      <c r="P338" s="9">
        <f>AVERAGE(L333:L338)</f>
        <v>7.5264415198009464</v>
      </c>
      <c r="Q338" s="9">
        <f>STDEV(L333:L338)</f>
        <v>0.39786984742166331</v>
      </c>
      <c r="R338">
        <f>COUNTA(L333:L338)</f>
        <v>6</v>
      </c>
    </row>
    <row r="339" spans="1:18" x14ac:dyDescent="0.2">
      <c r="A339" t="s">
        <v>363</v>
      </c>
      <c r="B339">
        <v>1</v>
      </c>
      <c r="C339">
        <v>750</v>
      </c>
      <c r="D339">
        <v>910</v>
      </c>
      <c r="E339">
        <v>1</v>
      </c>
      <c r="F339" t="s">
        <v>15</v>
      </c>
      <c r="G339" t="b">
        <v>0</v>
      </c>
      <c r="H339">
        <v>1</v>
      </c>
      <c r="I339" t="b">
        <v>1</v>
      </c>
      <c r="J339">
        <v>15508.724448478701</v>
      </c>
      <c r="K339">
        <v>4720.56084002651</v>
      </c>
      <c r="L339" s="3">
        <v>0.30438098605134101</v>
      </c>
      <c r="M339">
        <v>2.15</v>
      </c>
      <c r="N339">
        <v>30.8</v>
      </c>
      <c r="O339">
        <v>10.56</v>
      </c>
      <c r="P339" s="8"/>
      <c r="Q339" s="8"/>
    </row>
    <row r="340" spans="1:18" x14ac:dyDescent="0.2">
      <c r="A340" t="s">
        <v>364</v>
      </c>
      <c r="B340">
        <v>1</v>
      </c>
      <c r="C340">
        <v>750</v>
      </c>
      <c r="D340">
        <v>910</v>
      </c>
      <c r="E340">
        <v>1</v>
      </c>
      <c r="F340" t="s">
        <v>15</v>
      </c>
      <c r="G340" t="b">
        <v>0</v>
      </c>
      <c r="H340">
        <v>1</v>
      </c>
      <c r="I340" t="b">
        <v>0</v>
      </c>
      <c r="J340">
        <v>10564.621640109401</v>
      </c>
      <c r="K340">
        <v>2814.06769012224</v>
      </c>
      <c r="L340" s="3">
        <v>0.26636710579756101</v>
      </c>
      <c r="M340">
        <v>2.15</v>
      </c>
      <c r="N340">
        <v>21.28</v>
      </c>
      <c r="O340">
        <v>7.64</v>
      </c>
      <c r="P340" s="8"/>
      <c r="Q340" s="8"/>
    </row>
    <row r="341" spans="1:18" x14ac:dyDescent="0.2">
      <c r="A341" t="s">
        <v>365</v>
      </c>
      <c r="B341">
        <v>1</v>
      </c>
      <c r="C341">
        <v>750</v>
      </c>
      <c r="D341">
        <v>910</v>
      </c>
      <c r="E341">
        <v>1</v>
      </c>
      <c r="F341" t="s">
        <v>15</v>
      </c>
      <c r="G341" t="b">
        <v>0</v>
      </c>
      <c r="H341">
        <v>1</v>
      </c>
      <c r="I341" t="b">
        <v>0</v>
      </c>
      <c r="J341">
        <v>10235.239298386699</v>
      </c>
      <c r="K341">
        <v>1888.8045316742</v>
      </c>
      <c r="L341" s="3">
        <v>0.184539362159506</v>
      </c>
      <c r="M341">
        <v>2</v>
      </c>
      <c r="N341">
        <v>21.98</v>
      </c>
      <c r="O341">
        <v>6.52</v>
      </c>
      <c r="P341" s="8"/>
      <c r="Q341" s="8"/>
    </row>
    <row r="342" spans="1:18" x14ac:dyDescent="0.2">
      <c r="A342" t="s">
        <v>366</v>
      </c>
      <c r="B342">
        <v>1</v>
      </c>
      <c r="C342">
        <v>750</v>
      </c>
      <c r="D342">
        <v>910</v>
      </c>
      <c r="E342">
        <v>1</v>
      </c>
      <c r="F342" t="s">
        <v>15</v>
      </c>
      <c r="G342" t="b">
        <v>0</v>
      </c>
      <c r="H342">
        <v>1</v>
      </c>
      <c r="I342" t="b">
        <v>1</v>
      </c>
      <c r="J342">
        <v>10613.2793308689</v>
      </c>
      <c r="K342">
        <v>2151.8587688041798</v>
      </c>
      <c r="L342" s="3">
        <v>0.202751543770779</v>
      </c>
      <c r="M342">
        <v>2.1</v>
      </c>
      <c r="N342">
        <v>21.78</v>
      </c>
      <c r="O342">
        <v>7.19</v>
      </c>
      <c r="P342" s="8"/>
      <c r="Q342" s="8"/>
    </row>
    <row r="343" spans="1:18" x14ac:dyDescent="0.2">
      <c r="A343" t="s">
        <v>367</v>
      </c>
      <c r="B343">
        <v>1</v>
      </c>
      <c r="C343">
        <v>750</v>
      </c>
      <c r="D343">
        <v>910</v>
      </c>
      <c r="E343">
        <v>1</v>
      </c>
      <c r="F343" t="s">
        <v>15</v>
      </c>
      <c r="G343" t="b">
        <v>0</v>
      </c>
      <c r="H343">
        <v>1</v>
      </c>
      <c r="I343" t="b">
        <v>0</v>
      </c>
      <c r="J343">
        <v>11585.764261055299</v>
      </c>
      <c r="K343">
        <v>3250.54801669884</v>
      </c>
      <c r="L343" s="3">
        <v>0.28056397001148298</v>
      </c>
      <c r="M343">
        <v>2.0699999999999998</v>
      </c>
      <c r="N343">
        <v>24.29</v>
      </c>
      <c r="O343">
        <v>8.85</v>
      </c>
      <c r="P343" s="8"/>
      <c r="Q343" s="8"/>
    </row>
    <row r="344" spans="1:18" x14ac:dyDescent="0.2">
      <c r="A344" t="s">
        <v>368</v>
      </c>
      <c r="B344">
        <v>1</v>
      </c>
      <c r="C344">
        <v>750</v>
      </c>
      <c r="D344">
        <v>910</v>
      </c>
      <c r="E344">
        <v>1</v>
      </c>
      <c r="F344" t="s">
        <v>15</v>
      </c>
      <c r="G344" t="b">
        <v>0</v>
      </c>
      <c r="H344">
        <v>1</v>
      </c>
      <c r="I344" t="b">
        <v>1</v>
      </c>
      <c r="J344">
        <v>11753.644659612601</v>
      </c>
      <c r="K344">
        <v>3120.1867323409201</v>
      </c>
      <c r="L344" s="3">
        <v>0.26546546392221299</v>
      </c>
      <c r="M344">
        <v>2.04</v>
      </c>
      <c r="N344">
        <v>25.22</v>
      </c>
      <c r="O344">
        <v>8.25</v>
      </c>
      <c r="P344" s="8"/>
      <c r="Q344" s="8"/>
    </row>
    <row r="345" spans="1:18" x14ac:dyDescent="0.2">
      <c r="A345" t="s">
        <v>369</v>
      </c>
      <c r="B345">
        <v>1</v>
      </c>
      <c r="C345">
        <v>750</v>
      </c>
      <c r="D345">
        <v>910</v>
      </c>
      <c r="E345">
        <v>1</v>
      </c>
      <c r="F345" t="s">
        <v>15</v>
      </c>
      <c r="G345" t="b">
        <v>0</v>
      </c>
      <c r="H345">
        <v>1</v>
      </c>
      <c r="I345" t="b">
        <v>1</v>
      </c>
      <c r="J345">
        <v>13447.697480225601</v>
      </c>
      <c r="K345">
        <v>2647.5846591892901</v>
      </c>
      <c r="L345" s="3">
        <v>0.196880147183744</v>
      </c>
      <c r="M345">
        <v>2.73</v>
      </c>
      <c r="N345">
        <v>20.8</v>
      </c>
      <c r="O345">
        <v>7.3</v>
      </c>
      <c r="P345" s="8"/>
      <c r="Q345" s="8"/>
    </row>
    <row r="346" spans="1:18" x14ac:dyDescent="0.2">
      <c r="A346" t="s">
        <v>370</v>
      </c>
      <c r="B346">
        <v>1</v>
      </c>
      <c r="C346">
        <v>750</v>
      </c>
      <c r="D346">
        <v>910</v>
      </c>
      <c r="E346">
        <v>1</v>
      </c>
      <c r="F346" t="s">
        <v>15</v>
      </c>
      <c r="G346" t="b">
        <v>0</v>
      </c>
      <c r="H346">
        <v>1</v>
      </c>
      <c r="I346" t="b">
        <v>1</v>
      </c>
      <c r="J346">
        <v>13323.74336368</v>
      </c>
      <c r="K346">
        <v>4057.8357135298802</v>
      </c>
      <c r="L346" s="3">
        <v>0.30455673024980001</v>
      </c>
      <c r="M346">
        <v>2.44</v>
      </c>
      <c r="N346">
        <v>23.6</v>
      </c>
      <c r="O346">
        <v>9.9600000000000009</v>
      </c>
      <c r="P346" s="8"/>
      <c r="Q346" s="8"/>
    </row>
    <row r="347" spans="1:18" x14ac:dyDescent="0.2">
      <c r="A347" t="s">
        <v>371</v>
      </c>
      <c r="B347">
        <v>1</v>
      </c>
      <c r="C347">
        <v>750</v>
      </c>
      <c r="D347">
        <v>910</v>
      </c>
      <c r="E347">
        <v>1</v>
      </c>
      <c r="F347" t="s">
        <v>15</v>
      </c>
      <c r="G347" t="b">
        <v>0</v>
      </c>
      <c r="H347">
        <v>1</v>
      </c>
      <c r="I347" t="b">
        <v>1</v>
      </c>
      <c r="J347">
        <v>15231.270859911099</v>
      </c>
      <c r="K347">
        <v>4000.0580546934698</v>
      </c>
      <c r="L347" s="3">
        <v>0.26262142479664402</v>
      </c>
      <c r="M347">
        <v>2.23</v>
      </c>
      <c r="N347">
        <v>28.97</v>
      </c>
      <c r="O347">
        <v>9.75</v>
      </c>
      <c r="P347" s="8"/>
      <c r="Q347" s="8"/>
    </row>
    <row r="348" spans="1:18" x14ac:dyDescent="0.2">
      <c r="A348" t="s">
        <v>372</v>
      </c>
      <c r="B348">
        <v>1</v>
      </c>
      <c r="C348">
        <v>750</v>
      </c>
      <c r="D348">
        <v>910</v>
      </c>
      <c r="E348">
        <v>1</v>
      </c>
      <c r="F348" t="s">
        <v>15</v>
      </c>
      <c r="G348" t="b">
        <v>0</v>
      </c>
      <c r="H348">
        <v>1</v>
      </c>
      <c r="I348" t="b">
        <v>1</v>
      </c>
      <c r="J348">
        <v>14744.253303983</v>
      </c>
      <c r="K348">
        <v>3983.0711157361902</v>
      </c>
      <c r="L348" s="3">
        <v>0.27014396956000297</v>
      </c>
      <c r="M348">
        <v>2.82</v>
      </c>
      <c r="N348">
        <v>22.63</v>
      </c>
      <c r="O348">
        <v>8.7899999999999991</v>
      </c>
      <c r="P348" s="8"/>
      <c r="Q348" s="8"/>
    </row>
    <row r="349" spans="1:18" x14ac:dyDescent="0.2">
      <c r="A349" t="s">
        <v>373</v>
      </c>
      <c r="B349">
        <v>1</v>
      </c>
      <c r="C349">
        <v>750</v>
      </c>
      <c r="D349">
        <v>910</v>
      </c>
      <c r="E349">
        <v>1</v>
      </c>
      <c r="F349" t="s">
        <v>15</v>
      </c>
      <c r="G349" t="b">
        <v>0</v>
      </c>
      <c r="H349">
        <v>1</v>
      </c>
      <c r="I349" t="b">
        <v>1</v>
      </c>
      <c r="J349">
        <v>15481.019169547</v>
      </c>
      <c r="K349">
        <v>3978.4809049095502</v>
      </c>
      <c r="L349" s="3">
        <v>0.25699089067311898</v>
      </c>
      <c r="M349">
        <v>2.57</v>
      </c>
      <c r="N349">
        <v>25.65</v>
      </c>
      <c r="O349">
        <v>9.01</v>
      </c>
      <c r="P349" s="8"/>
      <c r="Q349" s="8"/>
    </row>
    <row r="350" spans="1:18" x14ac:dyDescent="0.2">
      <c r="A350" t="s">
        <v>374</v>
      </c>
      <c r="B350">
        <v>1</v>
      </c>
      <c r="C350">
        <v>750</v>
      </c>
      <c r="D350">
        <v>910</v>
      </c>
      <c r="E350">
        <v>1</v>
      </c>
      <c r="F350" t="s">
        <v>15</v>
      </c>
      <c r="G350" t="b">
        <v>0</v>
      </c>
      <c r="H350">
        <v>1</v>
      </c>
      <c r="I350" t="b">
        <v>1</v>
      </c>
      <c r="J350">
        <v>17466.747304214099</v>
      </c>
      <c r="K350">
        <v>1886.59558132589</v>
      </c>
      <c r="L350" s="3">
        <v>0.10801069875618501</v>
      </c>
      <c r="M350">
        <v>3.07</v>
      </c>
      <c r="N350">
        <v>24.34</v>
      </c>
      <c r="O350">
        <v>6.31</v>
      </c>
      <c r="P350" s="8"/>
      <c r="Q350" s="8"/>
    </row>
    <row r="351" spans="1:18" x14ac:dyDescent="0.2">
      <c r="A351" t="s">
        <v>375</v>
      </c>
      <c r="B351">
        <v>1</v>
      </c>
      <c r="C351">
        <v>750</v>
      </c>
      <c r="D351">
        <v>910</v>
      </c>
      <c r="E351">
        <v>1</v>
      </c>
      <c r="F351" t="s">
        <v>15</v>
      </c>
      <c r="G351" t="b">
        <v>0</v>
      </c>
      <c r="H351">
        <v>1</v>
      </c>
      <c r="I351" t="b">
        <v>0</v>
      </c>
      <c r="J351">
        <v>29999.956770095501</v>
      </c>
      <c r="K351">
        <v>8089.2206026800504</v>
      </c>
      <c r="L351" s="3">
        <v>0.26964107530793202</v>
      </c>
      <c r="M351">
        <v>4.55</v>
      </c>
      <c r="N351">
        <v>28.27</v>
      </c>
      <c r="O351">
        <v>9.65</v>
      </c>
      <c r="P351" s="8"/>
      <c r="Q351" s="8"/>
    </row>
    <row r="352" spans="1:18" x14ac:dyDescent="0.2">
      <c r="A352" t="s">
        <v>376</v>
      </c>
      <c r="B352">
        <v>1</v>
      </c>
      <c r="C352">
        <v>750</v>
      </c>
      <c r="D352">
        <v>910</v>
      </c>
      <c r="E352">
        <v>1</v>
      </c>
      <c r="F352" t="s">
        <v>15</v>
      </c>
      <c r="G352" t="b">
        <v>0</v>
      </c>
      <c r="H352">
        <v>1</v>
      </c>
      <c r="I352" t="b">
        <v>1</v>
      </c>
      <c r="J352">
        <v>35781.446855332499</v>
      </c>
      <c r="K352">
        <v>8499.3165518526494</v>
      </c>
      <c r="L352" s="3">
        <v>0.237534177592541</v>
      </c>
      <c r="M352">
        <v>3.41</v>
      </c>
      <c r="N352">
        <v>44.77</v>
      </c>
      <c r="O352">
        <v>13.37</v>
      </c>
      <c r="P352" s="8"/>
      <c r="Q352" s="8"/>
    </row>
    <row r="353" spans="1:18" x14ac:dyDescent="0.2">
      <c r="A353" t="s">
        <v>377</v>
      </c>
      <c r="B353">
        <v>1</v>
      </c>
      <c r="C353">
        <v>750</v>
      </c>
      <c r="D353">
        <v>910</v>
      </c>
      <c r="E353">
        <v>1</v>
      </c>
      <c r="F353" t="s">
        <v>15</v>
      </c>
      <c r="G353" t="b">
        <v>0</v>
      </c>
      <c r="H353">
        <v>1</v>
      </c>
      <c r="I353" t="b">
        <v>0</v>
      </c>
      <c r="J353">
        <v>33782.736495248901</v>
      </c>
      <c r="K353">
        <v>9504.7703613689391</v>
      </c>
      <c r="L353" s="3">
        <v>0.28134992447120599</v>
      </c>
      <c r="M353">
        <v>4.84</v>
      </c>
      <c r="N353">
        <v>29.81</v>
      </c>
      <c r="O353">
        <v>9.9</v>
      </c>
      <c r="P353" s="8"/>
      <c r="Q353" s="8"/>
    </row>
    <row r="354" spans="1:18" x14ac:dyDescent="0.2">
      <c r="A354" t="s">
        <v>378</v>
      </c>
      <c r="B354">
        <v>1</v>
      </c>
      <c r="C354">
        <v>750</v>
      </c>
      <c r="D354">
        <v>910</v>
      </c>
      <c r="E354">
        <v>1</v>
      </c>
      <c r="F354" t="s">
        <v>15</v>
      </c>
      <c r="G354" t="b">
        <v>0</v>
      </c>
      <c r="H354">
        <v>1</v>
      </c>
      <c r="I354" t="b">
        <v>0</v>
      </c>
      <c r="J354">
        <v>33337.883743413702</v>
      </c>
      <c r="K354">
        <v>12485.593284177699</v>
      </c>
      <c r="L354" s="3">
        <v>0.37451667239209302</v>
      </c>
      <c r="M354">
        <v>4.59</v>
      </c>
      <c r="N354">
        <v>31.31</v>
      </c>
      <c r="O354">
        <v>12.26</v>
      </c>
      <c r="P354" s="8"/>
      <c r="Q354" s="8"/>
    </row>
    <row r="355" spans="1:18" x14ac:dyDescent="0.2">
      <c r="A355" s="1" t="s">
        <v>379</v>
      </c>
      <c r="B355" s="1">
        <v>1</v>
      </c>
      <c r="C355" s="1">
        <v>750</v>
      </c>
      <c r="D355" s="1">
        <v>910</v>
      </c>
      <c r="E355" s="1">
        <v>1</v>
      </c>
      <c r="F355" s="1" t="s">
        <v>15</v>
      </c>
      <c r="G355" s="1" t="b">
        <v>0</v>
      </c>
      <c r="H355" s="1">
        <v>1</v>
      </c>
      <c r="I355" s="1" t="b">
        <v>1</v>
      </c>
      <c r="J355" s="1">
        <v>30805.828175133898</v>
      </c>
      <c r="K355" s="1">
        <v>9134.8251726927192</v>
      </c>
      <c r="L355" s="4">
        <v>0.29652912172204499</v>
      </c>
      <c r="M355" s="1">
        <v>2.82</v>
      </c>
      <c r="N355" s="1">
        <v>47.24</v>
      </c>
      <c r="O355" s="1">
        <v>72.540000000000006</v>
      </c>
      <c r="P355" s="9">
        <f>AVERAGE(L339:L355)</f>
        <v>0.25663783908342319</v>
      </c>
      <c r="Q355" s="9">
        <f>STDEV(L339:L355)</f>
        <v>5.9125609828304844E-2</v>
      </c>
      <c r="R355">
        <f>COUNTA(L339:L355)</f>
        <v>17</v>
      </c>
    </row>
    <row r="356" spans="1:18" x14ac:dyDescent="0.2">
      <c r="A356" t="s">
        <v>380</v>
      </c>
      <c r="B356">
        <v>1</v>
      </c>
      <c r="C356">
        <v>750</v>
      </c>
      <c r="D356">
        <v>910</v>
      </c>
      <c r="E356">
        <v>1</v>
      </c>
      <c r="F356" t="s">
        <v>15</v>
      </c>
      <c r="G356" t="b">
        <v>0</v>
      </c>
      <c r="H356">
        <v>1</v>
      </c>
      <c r="I356" t="b">
        <v>0</v>
      </c>
      <c r="J356">
        <v>13946.316651118501</v>
      </c>
      <c r="K356">
        <v>41161.8757550878</v>
      </c>
      <c r="L356" s="3">
        <v>2.95145139643639</v>
      </c>
      <c r="M356">
        <v>2.17</v>
      </c>
      <c r="N356">
        <v>25.66</v>
      </c>
      <c r="O356">
        <v>88.76</v>
      </c>
    </row>
    <row r="357" spans="1:18" x14ac:dyDescent="0.2">
      <c r="A357" t="s">
        <v>381</v>
      </c>
      <c r="B357">
        <v>1</v>
      </c>
      <c r="C357">
        <v>750</v>
      </c>
      <c r="D357">
        <v>910</v>
      </c>
      <c r="E357">
        <v>1</v>
      </c>
      <c r="F357" t="s">
        <v>15</v>
      </c>
      <c r="G357" t="b">
        <v>0</v>
      </c>
      <c r="H357">
        <v>1</v>
      </c>
      <c r="I357" t="b">
        <v>0</v>
      </c>
      <c r="J357">
        <v>16396.857088449298</v>
      </c>
      <c r="K357">
        <v>46524.209930966397</v>
      </c>
      <c r="L357" s="3">
        <v>2.83738582827193</v>
      </c>
      <c r="M357">
        <v>2.46</v>
      </c>
      <c r="N357">
        <v>26.94</v>
      </c>
      <c r="O357">
        <v>88.23</v>
      </c>
    </row>
    <row r="358" spans="1:18" x14ac:dyDescent="0.2">
      <c r="A358" t="s">
        <v>382</v>
      </c>
      <c r="B358">
        <v>1</v>
      </c>
      <c r="C358">
        <v>750</v>
      </c>
      <c r="D358">
        <v>910</v>
      </c>
      <c r="E358">
        <v>1</v>
      </c>
      <c r="F358" t="s">
        <v>15</v>
      </c>
      <c r="G358" t="b">
        <v>0</v>
      </c>
      <c r="H358">
        <v>1</v>
      </c>
      <c r="I358" t="b">
        <v>0</v>
      </c>
      <c r="J358">
        <v>15631.708918754999</v>
      </c>
      <c r="K358">
        <v>45589.439688528699</v>
      </c>
      <c r="L358" s="3">
        <v>2.9164718921953598</v>
      </c>
      <c r="M358">
        <v>2.19</v>
      </c>
      <c r="N358">
        <v>29.2</v>
      </c>
      <c r="O358">
        <v>97.06</v>
      </c>
    </row>
    <row r="359" spans="1:18" x14ac:dyDescent="0.2">
      <c r="A359" t="s">
        <v>383</v>
      </c>
      <c r="B359">
        <v>1</v>
      </c>
      <c r="C359">
        <v>750</v>
      </c>
      <c r="D359">
        <v>910</v>
      </c>
      <c r="E359">
        <v>1</v>
      </c>
      <c r="F359" t="s">
        <v>15</v>
      </c>
      <c r="G359" t="b">
        <v>0</v>
      </c>
      <c r="H359">
        <v>1</v>
      </c>
      <c r="I359" t="b">
        <v>0</v>
      </c>
      <c r="J359">
        <v>15420.3740203385</v>
      </c>
      <c r="K359">
        <v>44651.987125804197</v>
      </c>
      <c r="L359" s="3">
        <v>2.8956487739474199</v>
      </c>
      <c r="M359">
        <v>2.75</v>
      </c>
      <c r="N359">
        <v>22.71</v>
      </c>
      <c r="O359">
        <v>77.27</v>
      </c>
    </row>
    <row r="360" spans="1:18" x14ac:dyDescent="0.2">
      <c r="A360" t="s">
        <v>384</v>
      </c>
      <c r="B360">
        <v>1</v>
      </c>
      <c r="C360">
        <v>750</v>
      </c>
      <c r="D360">
        <v>910</v>
      </c>
      <c r="E360">
        <v>1</v>
      </c>
      <c r="F360" t="s">
        <v>15</v>
      </c>
      <c r="G360" t="b">
        <v>0</v>
      </c>
      <c r="H360">
        <v>1</v>
      </c>
      <c r="I360" t="b">
        <v>0</v>
      </c>
      <c r="J360">
        <v>16182.808315787601</v>
      </c>
      <c r="K360">
        <v>46596.843226044497</v>
      </c>
      <c r="L360" s="3">
        <v>2.8794040142331401</v>
      </c>
      <c r="M360">
        <v>2.46</v>
      </c>
      <c r="N360">
        <v>26.32</v>
      </c>
      <c r="O360">
        <v>88.69</v>
      </c>
      <c r="P360" s="8"/>
      <c r="Q360" s="8"/>
    </row>
    <row r="361" spans="1:18" x14ac:dyDescent="0.2">
      <c r="A361" s="1" t="s">
        <v>385</v>
      </c>
      <c r="B361" s="1">
        <v>1</v>
      </c>
      <c r="C361" s="1">
        <v>750</v>
      </c>
      <c r="D361" s="1">
        <v>910</v>
      </c>
      <c r="E361" s="1">
        <v>1</v>
      </c>
      <c r="F361" s="1" t="s">
        <v>15</v>
      </c>
      <c r="G361" s="1" t="b">
        <v>0</v>
      </c>
      <c r="H361" s="1">
        <v>1</v>
      </c>
      <c r="I361" s="1" t="b">
        <v>0</v>
      </c>
      <c r="J361" s="1">
        <v>12748.8307247297</v>
      </c>
      <c r="K361" s="1">
        <v>39055.595045277201</v>
      </c>
      <c r="L361" s="4">
        <v>3.0634648689403798</v>
      </c>
      <c r="M361" s="1">
        <v>2.95</v>
      </c>
      <c r="N361" s="1">
        <v>17.2</v>
      </c>
      <c r="O361" s="1">
        <v>61.11</v>
      </c>
      <c r="P361" s="9">
        <f>AVERAGE(L356:L361)</f>
        <v>2.9239711290041033</v>
      </c>
      <c r="Q361" s="9">
        <f>STDEV(L356:L361)</f>
        <v>7.8173275420848398E-2</v>
      </c>
      <c r="R361">
        <f>COUNTA(L356:L361)</f>
        <v>6</v>
      </c>
    </row>
    <row r="362" spans="1:18" x14ac:dyDescent="0.2">
      <c r="A362" t="s">
        <v>386</v>
      </c>
      <c r="B362">
        <v>1</v>
      </c>
      <c r="C362">
        <v>750</v>
      </c>
      <c r="D362">
        <v>910</v>
      </c>
      <c r="E362">
        <v>1</v>
      </c>
      <c r="F362" t="s">
        <v>15</v>
      </c>
      <c r="G362" t="b">
        <v>0</v>
      </c>
      <c r="H362">
        <v>1</v>
      </c>
      <c r="I362" t="b">
        <v>0</v>
      </c>
      <c r="J362">
        <v>20594.382247921301</v>
      </c>
      <c r="K362">
        <v>88738.233510065897</v>
      </c>
      <c r="L362" s="3">
        <v>4.3088562910898904</v>
      </c>
      <c r="M362">
        <v>2.97</v>
      </c>
      <c r="N362">
        <v>26.95</v>
      </c>
      <c r="O362">
        <v>131.9</v>
      </c>
      <c r="P362" s="8"/>
      <c r="Q362" s="8"/>
    </row>
    <row r="363" spans="1:18" x14ac:dyDescent="0.2">
      <c r="A363" t="s">
        <v>387</v>
      </c>
      <c r="B363">
        <v>1</v>
      </c>
      <c r="C363">
        <v>750</v>
      </c>
      <c r="D363">
        <v>910</v>
      </c>
      <c r="E363">
        <v>1</v>
      </c>
      <c r="F363" t="s">
        <v>15</v>
      </c>
      <c r="G363" t="b">
        <v>0</v>
      </c>
      <c r="H363">
        <v>1</v>
      </c>
      <c r="I363" t="b">
        <v>0</v>
      </c>
      <c r="J363">
        <v>14064.1450783201</v>
      </c>
      <c r="K363">
        <v>62985.512225671802</v>
      </c>
      <c r="L363" s="3">
        <v>4.4784458546836099</v>
      </c>
      <c r="M363">
        <v>2.66</v>
      </c>
      <c r="N363">
        <v>20.28</v>
      </c>
      <c r="O363">
        <v>108.48</v>
      </c>
      <c r="P363" s="8"/>
      <c r="Q363" s="8"/>
    </row>
    <row r="364" spans="1:18" x14ac:dyDescent="0.2">
      <c r="A364" t="s">
        <v>388</v>
      </c>
      <c r="B364">
        <v>1</v>
      </c>
      <c r="C364">
        <v>750</v>
      </c>
      <c r="D364">
        <v>910</v>
      </c>
      <c r="E364">
        <v>1</v>
      </c>
      <c r="F364" t="s">
        <v>15</v>
      </c>
      <c r="G364" t="b">
        <v>0</v>
      </c>
      <c r="H364">
        <v>1</v>
      </c>
      <c r="I364" t="b">
        <v>0</v>
      </c>
      <c r="J364">
        <v>9875.5139241998204</v>
      </c>
      <c r="K364">
        <v>44251.7097011523</v>
      </c>
      <c r="L364" s="3">
        <v>4.48095259049901</v>
      </c>
      <c r="M364">
        <v>2.46</v>
      </c>
      <c r="N364">
        <v>15.46</v>
      </c>
      <c r="O364">
        <v>83.51</v>
      </c>
      <c r="P364" s="8"/>
      <c r="Q364" s="8"/>
    </row>
    <row r="365" spans="1:18" x14ac:dyDescent="0.2">
      <c r="A365" t="s">
        <v>389</v>
      </c>
      <c r="B365">
        <v>1</v>
      </c>
      <c r="C365">
        <v>750</v>
      </c>
      <c r="D365">
        <v>910</v>
      </c>
      <c r="E365">
        <v>1</v>
      </c>
      <c r="F365" t="s">
        <v>15</v>
      </c>
      <c r="G365" t="b">
        <v>0</v>
      </c>
      <c r="H365">
        <v>1</v>
      </c>
      <c r="I365" t="b">
        <v>0</v>
      </c>
      <c r="J365">
        <v>19120.389612254399</v>
      </c>
      <c r="K365">
        <v>80038.031528130494</v>
      </c>
      <c r="L365" s="3">
        <v>4.1860042159827797</v>
      </c>
      <c r="M365">
        <v>2.97</v>
      </c>
      <c r="N365">
        <v>25.19</v>
      </c>
      <c r="O365">
        <v>122</v>
      </c>
      <c r="P365" s="8"/>
      <c r="Q365" s="8"/>
    </row>
    <row r="366" spans="1:18" x14ac:dyDescent="0.2">
      <c r="A366" t="s">
        <v>390</v>
      </c>
      <c r="B366">
        <v>1</v>
      </c>
      <c r="C366">
        <v>750</v>
      </c>
      <c r="D366">
        <v>910</v>
      </c>
      <c r="E366">
        <v>1</v>
      </c>
      <c r="F366" t="s">
        <v>15</v>
      </c>
      <c r="G366" t="b">
        <v>0</v>
      </c>
      <c r="H366">
        <v>1</v>
      </c>
      <c r="I366" t="b">
        <v>0</v>
      </c>
      <c r="J366">
        <v>20419.3999969301</v>
      </c>
      <c r="K366">
        <v>87917.052997290506</v>
      </c>
      <c r="L366" s="3">
        <v>4.3055649534515101</v>
      </c>
      <c r="M366">
        <v>3.13</v>
      </c>
      <c r="N366">
        <v>25.02</v>
      </c>
      <c r="O366">
        <v>126.15</v>
      </c>
      <c r="P366" s="8"/>
      <c r="Q366" s="8"/>
    </row>
    <row r="367" spans="1:18" x14ac:dyDescent="0.2">
      <c r="A367" t="s">
        <v>391</v>
      </c>
      <c r="B367">
        <v>1</v>
      </c>
      <c r="C367">
        <v>750</v>
      </c>
      <c r="D367">
        <v>910</v>
      </c>
      <c r="E367">
        <v>1</v>
      </c>
      <c r="F367" t="s">
        <v>15</v>
      </c>
      <c r="G367" t="b">
        <v>0</v>
      </c>
      <c r="H367">
        <v>1</v>
      </c>
      <c r="I367" t="b">
        <v>0</v>
      </c>
      <c r="J367">
        <v>23761.881256283101</v>
      </c>
      <c r="K367">
        <v>99375.184570997502</v>
      </c>
      <c r="L367" s="3">
        <v>4.18212613299381</v>
      </c>
      <c r="M367">
        <v>3.11</v>
      </c>
      <c r="N367">
        <v>29.62</v>
      </c>
      <c r="O367">
        <v>143.96</v>
      </c>
      <c r="P367" s="9">
        <f>AVERAGE(L362:L367)</f>
        <v>4.3236583397834352</v>
      </c>
      <c r="Q367" s="9">
        <f>_xlfn.STDEV.P(L362:L367)</f>
        <v>0.12126221636718758</v>
      </c>
    </row>
    <row r="368" spans="1:18" x14ac:dyDescent="0.2">
      <c r="A368" t="s">
        <v>392</v>
      </c>
      <c r="B368">
        <v>1</v>
      </c>
      <c r="C368">
        <v>750</v>
      </c>
      <c r="D368">
        <v>910</v>
      </c>
      <c r="E368">
        <v>1</v>
      </c>
      <c r="F368" t="s">
        <v>15</v>
      </c>
      <c r="G368" t="b">
        <v>0</v>
      </c>
      <c r="H368">
        <v>1</v>
      </c>
      <c r="I368" t="b">
        <v>0</v>
      </c>
      <c r="J368">
        <v>20324.031623851799</v>
      </c>
      <c r="K368">
        <v>79270.293441239104</v>
      </c>
      <c r="L368" s="3">
        <v>3.90032326795877</v>
      </c>
      <c r="M368">
        <v>3.24</v>
      </c>
      <c r="N368">
        <v>23.95</v>
      </c>
      <c r="O368">
        <v>109.45</v>
      </c>
      <c r="P368" s="8"/>
      <c r="Q368" s="8"/>
    </row>
    <row r="369" spans="1:18" x14ac:dyDescent="0.2">
      <c r="A369" t="s">
        <v>393</v>
      </c>
      <c r="B369">
        <v>1</v>
      </c>
      <c r="C369">
        <v>750</v>
      </c>
      <c r="D369">
        <v>910</v>
      </c>
      <c r="E369">
        <v>1</v>
      </c>
      <c r="F369" t="s">
        <v>15</v>
      </c>
      <c r="G369" t="b">
        <v>0</v>
      </c>
      <c r="H369">
        <v>1</v>
      </c>
      <c r="I369" t="b">
        <v>0</v>
      </c>
      <c r="J369">
        <v>15523.227189117701</v>
      </c>
      <c r="K369">
        <v>65672.901816840298</v>
      </c>
      <c r="L369" s="3">
        <v>4.2306217010647602</v>
      </c>
      <c r="M369">
        <v>2.3199999999999998</v>
      </c>
      <c r="N369">
        <v>26.09</v>
      </c>
      <c r="O369">
        <v>125.7</v>
      </c>
      <c r="P369" s="8"/>
      <c r="Q369" s="8"/>
    </row>
    <row r="370" spans="1:18" x14ac:dyDescent="0.2">
      <c r="A370" t="s">
        <v>394</v>
      </c>
      <c r="B370">
        <v>1</v>
      </c>
      <c r="C370">
        <v>750</v>
      </c>
      <c r="D370">
        <v>910</v>
      </c>
      <c r="E370">
        <v>1</v>
      </c>
      <c r="F370" t="s">
        <v>15</v>
      </c>
      <c r="G370" t="b">
        <v>0</v>
      </c>
      <c r="H370">
        <v>1</v>
      </c>
      <c r="I370" t="b">
        <v>0</v>
      </c>
      <c r="J370">
        <v>14845.092250279</v>
      </c>
      <c r="K370">
        <v>60012.958100427502</v>
      </c>
      <c r="L370" s="3">
        <v>4.0426126755325003</v>
      </c>
      <c r="M370">
        <v>2.83</v>
      </c>
      <c r="N370">
        <v>20.29</v>
      </c>
      <c r="O370">
        <v>100</v>
      </c>
      <c r="P370" s="8"/>
      <c r="Q370" s="8"/>
    </row>
    <row r="371" spans="1:18" x14ac:dyDescent="0.2">
      <c r="A371" t="s">
        <v>395</v>
      </c>
      <c r="B371">
        <v>1</v>
      </c>
      <c r="C371">
        <v>750</v>
      </c>
      <c r="D371">
        <v>910</v>
      </c>
      <c r="E371">
        <v>1</v>
      </c>
      <c r="F371" t="s">
        <v>15</v>
      </c>
      <c r="G371" t="b">
        <v>0</v>
      </c>
      <c r="H371">
        <v>1</v>
      </c>
      <c r="I371" t="b">
        <v>0</v>
      </c>
      <c r="J371">
        <v>19508.9585681629</v>
      </c>
      <c r="K371">
        <v>76075.628230054295</v>
      </c>
      <c r="L371" s="3">
        <v>3.8995227738196001</v>
      </c>
      <c r="M371">
        <v>2.7</v>
      </c>
      <c r="N371">
        <v>27.53</v>
      </c>
      <c r="O371">
        <v>127.85</v>
      </c>
      <c r="P371" s="8"/>
      <c r="Q371" s="8"/>
    </row>
    <row r="372" spans="1:18" x14ac:dyDescent="0.2">
      <c r="A372" t="s">
        <v>396</v>
      </c>
      <c r="B372">
        <v>1</v>
      </c>
      <c r="C372">
        <v>750</v>
      </c>
      <c r="D372">
        <v>910</v>
      </c>
      <c r="E372">
        <v>1</v>
      </c>
      <c r="F372" t="s">
        <v>15</v>
      </c>
      <c r="G372" t="b">
        <v>0</v>
      </c>
      <c r="H372">
        <v>1</v>
      </c>
      <c r="I372" t="b">
        <v>0</v>
      </c>
      <c r="J372">
        <v>18888.5280081696</v>
      </c>
      <c r="K372">
        <v>76383.706031559501</v>
      </c>
      <c r="L372" s="3">
        <v>4.0439205214150098</v>
      </c>
      <c r="M372">
        <v>2.83</v>
      </c>
      <c r="N372">
        <v>25.57</v>
      </c>
      <c r="O372">
        <v>121.56</v>
      </c>
      <c r="P372" s="8"/>
      <c r="Q372" s="8"/>
    </row>
    <row r="373" spans="1:18" x14ac:dyDescent="0.2">
      <c r="A373" s="1" t="s">
        <v>397</v>
      </c>
      <c r="B373" s="1">
        <v>1</v>
      </c>
      <c r="C373" s="1">
        <v>750</v>
      </c>
      <c r="D373" s="1">
        <v>910</v>
      </c>
      <c r="E373" s="1">
        <v>1</v>
      </c>
      <c r="F373" s="1" t="s">
        <v>15</v>
      </c>
      <c r="G373" s="1" t="b">
        <v>0</v>
      </c>
      <c r="H373" s="1">
        <v>1</v>
      </c>
      <c r="I373" s="1" t="b">
        <v>0</v>
      </c>
      <c r="J373" s="1">
        <v>15960.548267253</v>
      </c>
      <c r="K373" s="1">
        <v>65413.9618984966</v>
      </c>
      <c r="L373" s="4">
        <v>4.0984783732467003</v>
      </c>
      <c r="M373" s="1">
        <v>2.77</v>
      </c>
      <c r="N373" s="1">
        <v>22.42</v>
      </c>
      <c r="O373" s="1">
        <v>106.84</v>
      </c>
      <c r="P373" s="9">
        <f>AVERAGE(L362:L373)</f>
        <v>4.1797857793114961</v>
      </c>
      <c r="Q373" s="9">
        <f>STDEV(L362:L373)</f>
        <v>0.19436158759905126</v>
      </c>
      <c r="R373">
        <f>COUNTA(L362:L373)</f>
        <v>12</v>
      </c>
    </row>
    <row r="374" spans="1:18" x14ac:dyDescent="0.2">
      <c r="A374" t="s">
        <v>398</v>
      </c>
      <c r="B374">
        <v>1</v>
      </c>
      <c r="C374">
        <v>750</v>
      </c>
      <c r="D374">
        <v>910</v>
      </c>
      <c r="E374">
        <v>1</v>
      </c>
      <c r="F374" t="s">
        <v>15</v>
      </c>
      <c r="G374" t="b">
        <v>0</v>
      </c>
      <c r="H374">
        <v>1</v>
      </c>
      <c r="I374" t="b">
        <v>0</v>
      </c>
      <c r="J374">
        <v>12066.1484245558</v>
      </c>
      <c r="K374">
        <v>82771.6439968794</v>
      </c>
      <c r="L374" s="3">
        <v>6.8598231253670603</v>
      </c>
      <c r="M374">
        <v>2.4900000000000002</v>
      </c>
      <c r="N374">
        <v>19.07</v>
      </c>
      <c r="O374">
        <v>141.77000000000001</v>
      </c>
      <c r="P374" s="8"/>
      <c r="Q374" s="8"/>
    </row>
    <row r="375" spans="1:18" x14ac:dyDescent="0.2">
      <c r="A375" t="s">
        <v>399</v>
      </c>
      <c r="B375">
        <v>1</v>
      </c>
      <c r="C375">
        <v>750</v>
      </c>
      <c r="D375">
        <v>910</v>
      </c>
      <c r="E375">
        <v>1</v>
      </c>
      <c r="F375" t="s">
        <v>15</v>
      </c>
      <c r="G375" t="b">
        <v>0</v>
      </c>
      <c r="H375">
        <v>1</v>
      </c>
      <c r="I375" t="b">
        <v>0</v>
      </c>
      <c r="J375">
        <v>11158.011927019499</v>
      </c>
      <c r="K375">
        <v>76342.287945026997</v>
      </c>
      <c r="L375" s="3">
        <v>6.8419256444924104</v>
      </c>
      <c r="M375">
        <v>2.41</v>
      </c>
      <c r="N375">
        <v>17.829999999999998</v>
      </c>
      <c r="O375">
        <v>137.26</v>
      </c>
      <c r="P375" s="8"/>
      <c r="Q375" s="8"/>
    </row>
    <row r="376" spans="1:18" x14ac:dyDescent="0.2">
      <c r="A376" t="s">
        <v>400</v>
      </c>
      <c r="B376">
        <v>1</v>
      </c>
      <c r="C376">
        <v>750</v>
      </c>
      <c r="D376">
        <v>910</v>
      </c>
      <c r="E376">
        <v>1</v>
      </c>
      <c r="F376" t="s">
        <v>15</v>
      </c>
      <c r="G376" t="b">
        <v>0</v>
      </c>
      <c r="H376">
        <v>1</v>
      </c>
      <c r="I376" t="b">
        <v>1</v>
      </c>
      <c r="J376">
        <v>14346.9386654139</v>
      </c>
      <c r="K376">
        <v>99123.1343239501</v>
      </c>
      <c r="L376" s="3">
        <v>6.9090094155699697</v>
      </c>
      <c r="M376">
        <v>2.74</v>
      </c>
      <c r="N376">
        <v>20.48</v>
      </c>
      <c r="O376">
        <v>153.74</v>
      </c>
      <c r="P376" s="8"/>
      <c r="Q376" s="8"/>
    </row>
    <row r="377" spans="1:18" x14ac:dyDescent="0.2">
      <c r="A377" t="s">
        <v>401</v>
      </c>
      <c r="B377">
        <v>1</v>
      </c>
      <c r="C377">
        <v>750</v>
      </c>
      <c r="D377">
        <v>910</v>
      </c>
      <c r="E377">
        <v>1</v>
      </c>
      <c r="F377" t="s">
        <v>15</v>
      </c>
      <c r="G377" t="b">
        <v>0</v>
      </c>
      <c r="H377">
        <v>1</v>
      </c>
      <c r="I377" t="b">
        <v>0</v>
      </c>
      <c r="J377">
        <v>20772.553900642801</v>
      </c>
      <c r="K377">
        <v>128760.82176376101</v>
      </c>
      <c r="L377" s="3">
        <v>6.1986033291639302</v>
      </c>
      <c r="M377">
        <v>3.2</v>
      </c>
      <c r="N377">
        <v>25.01</v>
      </c>
      <c r="O377">
        <v>174.5</v>
      </c>
      <c r="P377" s="8"/>
      <c r="Q377" s="8"/>
    </row>
    <row r="378" spans="1:18" x14ac:dyDescent="0.2">
      <c r="A378" t="s">
        <v>402</v>
      </c>
      <c r="B378">
        <v>1</v>
      </c>
      <c r="C378">
        <v>750</v>
      </c>
      <c r="D378">
        <v>910</v>
      </c>
      <c r="E378">
        <v>1</v>
      </c>
      <c r="F378" t="s">
        <v>15</v>
      </c>
      <c r="G378" t="b">
        <v>0</v>
      </c>
      <c r="H378">
        <v>1</v>
      </c>
      <c r="I378" t="b">
        <v>0</v>
      </c>
      <c r="J378">
        <v>17326.885025145999</v>
      </c>
      <c r="K378">
        <v>112347.62913338401</v>
      </c>
      <c r="L378" s="3">
        <v>6.4840061540396698</v>
      </c>
      <c r="M378">
        <v>2.8</v>
      </c>
      <c r="N378">
        <v>23.94</v>
      </c>
      <c r="O378">
        <v>173.89</v>
      </c>
      <c r="P378" s="8"/>
      <c r="Q378" s="8"/>
    </row>
    <row r="379" spans="1:18" x14ac:dyDescent="0.2">
      <c r="A379" s="1" t="s">
        <v>403</v>
      </c>
      <c r="B379" s="1">
        <v>1</v>
      </c>
      <c r="C379" s="1">
        <v>750</v>
      </c>
      <c r="D379" s="1">
        <v>910</v>
      </c>
      <c r="E379" s="1">
        <v>1</v>
      </c>
      <c r="F379" s="1" t="s">
        <v>15</v>
      </c>
      <c r="G379" s="1" t="b">
        <v>0</v>
      </c>
      <c r="H379" s="1">
        <v>1</v>
      </c>
      <c r="I379" s="1" t="b">
        <v>0</v>
      </c>
      <c r="J379" s="1">
        <v>22701.015939340901</v>
      </c>
      <c r="K379" s="1">
        <v>137037.38497037001</v>
      </c>
      <c r="L379" s="4">
        <v>6.03661903663457</v>
      </c>
      <c r="M379" s="1">
        <v>3.17</v>
      </c>
      <c r="N379" s="1">
        <v>27.37</v>
      </c>
      <c r="O379" s="1">
        <v>189.18</v>
      </c>
      <c r="P379" s="9">
        <f>AVERAGE(L374:L379)</f>
        <v>6.5549977842112677</v>
      </c>
      <c r="Q379" s="9">
        <f>STDEV(L374:L379)</f>
        <v>0.37452467631268438</v>
      </c>
      <c r="R379">
        <f>COUNTA(L374:L379)</f>
        <v>6</v>
      </c>
    </row>
    <row r="381" spans="1:18" x14ac:dyDescent="0.2">
      <c r="A381" t="s">
        <v>570</v>
      </c>
    </row>
    <row r="382" spans="1:18" x14ac:dyDescent="0.2">
      <c r="A382" s="1"/>
      <c r="B382" s="1" t="s">
        <v>0</v>
      </c>
      <c r="C382" s="1" t="s">
        <v>1</v>
      </c>
      <c r="D382" s="1" t="s">
        <v>2</v>
      </c>
      <c r="E382" s="1" t="s">
        <v>3</v>
      </c>
      <c r="F382" s="1" t="s">
        <v>4</v>
      </c>
      <c r="G382" s="1" t="s">
        <v>5</v>
      </c>
      <c r="H382" s="1" t="s">
        <v>6</v>
      </c>
      <c r="I382" s="1" t="s">
        <v>7</v>
      </c>
      <c r="J382" s="1" t="s">
        <v>8</v>
      </c>
      <c r="K382" s="1" t="s">
        <v>9</v>
      </c>
      <c r="L382" s="4" t="s">
        <v>10</v>
      </c>
      <c r="M382" s="1" t="s">
        <v>11</v>
      </c>
      <c r="N382" s="1" t="s">
        <v>12</v>
      </c>
      <c r="O382" s="1" t="s">
        <v>13</v>
      </c>
      <c r="P382" s="1"/>
      <c r="Q382" s="1"/>
    </row>
    <row r="383" spans="1:18" x14ac:dyDescent="0.2">
      <c r="A383" t="s">
        <v>494</v>
      </c>
      <c r="B383">
        <v>1</v>
      </c>
      <c r="C383">
        <v>750</v>
      </c>
      <c r="D383">
        <v>910</v>
      </c>
      <c r="E383">
        <v>1</v>
      </c>
      <c r="F383" t="s">
        <v>15</v>
      </c>
      <c r="G383" t="b">
        <v>0</v>
      </c>
      <c r="H383">
        <v>1</v>
      </c>
      <c r="I383" t="b">
        <v>0</v>
      </c>
      <c r="J383">
        <v>56966.792051955897</v>
      </c>
      <c r="K383">
        <v>257217.881403626</v>
      </c>
      <c r="L383" s="3">
        <v>4.5152249606934696</v>
      </c>
      <c r="M383">
        <v>7.62</v>
      </c>
      <c r="N383">
        <v>28.42</v>
      </c>
      <c r="O383">
        <v>152.91</v>
      </c>
    </row>
    <row r="384" spans="1:18" x14ac:dyDescent="0.2">
      <c r="A384" t="s">
        <v>495</v>
      </c>
      <c r="B384">
        <v>1</v>
      </c>
      <c r="C384">
        <v>750</v>
      </c>
      <c r="D384">
        <v>910</v>
      </c>
      <c r="E384">
        <v>1</v>
      </c>
      <c r="F384" t="s">
        <v>15</v>
      </c>
      <c r="G384" t="b">
        <v>0</v>
      </c>
      <c r="H384">
        <v>1</v>
      </c>
      <c r="I384" t="b">
        <v>0</v>
      </c>
      <c r="J384">
        <v>56536.9954770365</v>
      </c>
      <c r="K384">
        <v>254043.206418202</v>
      </c>
      <c r="L384" s="3">
        <v>4.4933977172767499</v>
      </c>
      <c r="M384">
        <v>5.21</v>
      </c>
      <c r="N384">
        <v>41.13</v>
      </c>
      <c r="O384">
        <v>223.36</v>
      </c>
    </row>
    <row r="385" spans="1:17" x14ac:dyDescent="0.2">
      <c r="A385" s="1" t="s">
        <v>496</v>
      </c>
      <c r="B385" s="1">
        <v>1</v>
      </c>
      <c r="C385" s="1">
        <v>750</v>
      </c>
      <c r="D385" s="1">
        <v>910</v>
      </c>
      <c r="E385" s="1">
        <v>1</v>
      </c>
      <c r="F385" s="1" t="s">
        <v>15</v>
      </c>
      <c r="G385" s="1" t="b">
        <v>0</v>
      </c>
      <c r="H385" s="1">
        <v>1</v>
      </c>
      <c r="I385" s="1" t="b">
        <v>0</v>
      </c>
      <c r="J385" s="1">
        <v>57890.358452082102</v>
      </c>
      <c r="K385" s="1">
        <v>258994.22746992501</v>
      </c>
      <c r="L385" s="4">
        <v>4.4738750008657098</v>
      </c>
      <c r="M385" s="1">
        <v>6.63</v>
      </c>
      <c r="N385" s="1">
        <v>32.78</v>
      </c>
      <c r="O385" s="1">
        <v>175.84</v>
      </c>
      <c r="P385" s="9">
        <f>AVERAGE(L383:L385)</f>
        <v>4.4941658929453103</v>
      </c>
      <c r="Q385" s="9">
        <f>STDEV(L383:L385)</f>
        <v>2.0685680187817437E-2</v>
      </c>
    </row>
    <row r="386" spans="1:17" x14ac:dyDescent="0.2">
      <c r="A386" t="s">
        <v>497</v>
      </c>
      <c r="B386">
        <v>1</v>
      </c>
      <c r="C386">
        <v>750</v>
      </c>
      <c r="D386">
        <v>910</v>
      </c>
      <c r="E386">
        <v>1</v>
      </c>
      <c r="F386" t="s">
        <v>15</v>
      </c>
      <c r="G386" t="b">
        <v>0</v>
      </c>
      <c r="H386">
        <v>1</v>
      </c>
      <c r="I386" t="b">
        <v>0</v>
      </c>
      <c r="J386">
        <v>30735.147639978299</v>
      </c>
      <c r="K386">
        <v>193472.07120666301</v>
      </c>
      <c r="L386" s="49">
        <v>6.2948150915991397</v>
      </c>
      <c r="M386">
        <v>4.72</v>
      </c>
      <c r="N386">
        <v>28.01</v>
      </c>
      <c r="O386">
        <v>181.71</v>
      </c>
      <c r="P386" t="s">
        <v>498</v>
      </c>
    </row>
    <row r="387" spans="1:17" x14ac:dyDescent="0.2">
      <c r="A387" t="s">
        <v>499</v>
      </c>
      <c r="B387">
        <v>1</v>
      </c>
      <c r="C387">
        <v>750</v>
      </c>
      <c r="D387">
        <v>910</v>
      </c>
      <c r="E387">
        <v>1</v>
      </c>
      <c r="F387" t="s">
        <v>15</v>
      </c>
      <c r="G387" t="b">
        <v>0</v>
      </c>
      <c r="H387">
        <v>1</v>
      </c>
      <c r="I387" t="b">
        <v>0</v>
      </c>
      <c r="J387">
        <v>40444.470975516</v>
      </c>
      <c r="K387">
        <v>236959.235649626</v>
      </c>
      <c r="L387" s="3">
        <v>5.8588783567740403</v>
      </c>
      <c r="M387">
        <v>4.5199999999999996</v>
      </c>
      <c r="N387">
        <v>37.4</v>
      </c>
      <c r="O387">
        <v>232.65</v>
      </c>
    </row>
    <row r="388" spans="1:17" x14ac:dyDescent="0.2">
      <c r="A388" t="s">
        <v>500</v>
      </c>
      <c r="B388">
        <v>1</v>
      </c>
      <c r="C388">
        <v>750</v>
      </c>
      <c r="D388">
        <v>910</v>
      </c>
      <c r="E388">
        <v>1</v>
      </c>
      <c r="F388" t="s">
        <v>15</v>
      </c>
      <c r="G388" t="b">
        <v>0</v>
      </c>
      <c r="H388">
        <v>1</v>
      </c>
      <c r="I388" t="b">
        <v>0</v>
      </c>
      <c r="J388">
        <v>41135.170177742402</v>
      </c>
      <c r="K388">
        <v>245901.56400308901</v>
      </c>
      <c r="L388" s="3">
        <v>5.9778910100666698</v>
      </c>
      <c r="M388">
        <v>4.93</v>
      </c>
      <c r="N388">
        <v>34.82</v>
      </c>
      <c r="O388">
        <v>219.09</v>
      </c>
    </row>
    <row r="389" spans="1:17" x14ac:dyDescent="0.2">
      <c r="A389" s="1" t="s">
        <v>501</v>
      </c>
      <c r="B389" s="1">
        <v>1</v>
      </c>
      <c r="C389" s="1">
        <v>750</v>
      </c>
      <c r="D389" s="1">
        <v>910</v>
      </c>
      <c r="E389" s="1">
        <v>1</v>
      </c>
      <c r="F389" s="1" t="s">
        <v>15</v>
      </c>
      <c r="G389" s="1" t="b">
        <v>0</v>
      </c>
      <c r="H389" s="1">
        <v>1</v>
      </c>
      <c r="I389" s="1" t="b">
        <v>0</v>
      </c>
      <c r="J389" s="1">
        <v>40022.631868487399</v>
      </c>
      <c r="K389" s="1">
        <v>234728.00663106999</v>
      </c>
      <c r="L389" s="4">
        <v>5.8648818349171998</v>
      </c>
      <c r="M389" s="1">
        <v>4.47</v>
      </c>
      <c r="N389" s="1">
        <v>37.43</v>
      </c>
      <c r="O389" s="1">
        <v>233</v>
      </c>
      <c r="P389" s="9">
        <f>AVERAGE(L387:L389)</f>
        <v>5.9005504005859697</v>
      </c>
      <c r="Q389" s="9">
        <f>STDEV(L387:L389)</f>
        <v>6.7046162034738663E-2</v>
      </c>
    </row>
    <row r="390" spans="1:17" x14ac:dyDescent="0.2">
      <c r="A390" t="s">
        <v>502</v>
      </c>
      <c r="B390">
        <v>1</v>
      </c>
      <c r="C390">
        <v>750</v>
      </c>
      <c r="D390">
        <v>910</v>
      </c>
      <c r="E390">
        <v>1</v>
      </c>
      <c r="F390" t="s">
        <v>15</v>
      </c>
      <c r="G390" t="b">
        <v>0</v>
      </c>
      <c r="H390">
        <v>1</v>
      </c>
      <c r="I390" t="b">
        <v>0</v>
      </c>
      <c r="J390">
        <v>42722.652825079596</v>
      </c>
      <c r="K390">
        <v>251697.45250931301</v>
      </c>
      <c r="L390" s="3">
        <v>5.8914284545916198</v>
      </c>
      <c r="M390">
        <v>6.68</v>
      </c>
      <c r="N390">
        <v>19.55</v>
      </c>
      <c r="O390">
        <v>158.43</v>
      </c>
    </row>
    <row r="391" spans="1:17" x14ac:dyDescent="0.2">
      <c r="A391" t="s">
        <v>503</v>
      </c>
      <c r="B391">
        <v>1</v>
      </c>
      <c r="C391">
        <v>750</v>
      </c>
      <c r="D391">
        <v>910</v>
      </c>
      <c r="E391">
        <v>1</v>
      </c>
      <c r="F391" t="s">
        <v>15</v>
      </c>
      <c r="G391" t="b">
        <v>0</v>
      </c>
      <c r="H391">
        <v>1</v>
      </c>
      <c r="I391" t="b">
        <v>0</v>
      </c>
      <c r="J391">
        <v>44765.1661498791</v>
      </c>
      <c r="K391">
        <v>255819.62693816199</v>
      </c>
      <c r="L391" s="3">
        <v>5.7147029474133397</v>
      </c>
      <c r="M391">
        <v>7.03</v>
      </c>
      <c r="N391">
        <v>19.38</v>
      </c>
      <c r="O391">
        <v>153.84</v>
      </c>
    </row>
    <row r="392" spans="1:17" x14ac:dyDescent="0.2">
      <c r="A392" t="s">
        <v>504</v>
      </c>
      <c r="B392">
        <v>1</v>
      </c>
      <c r="C392">
        <v>750</v>
      </c>
      <c r="D392">
        <v>910</v>
      </c>
      <c r="E392">
        <v>1</v>
      </c>
      <c r="F392" t="s">
        <v>15</v>
      </c>
      <c r="G392" t="b">
        <v>0</v>
      </c>
      <c r="H392">
        <v>1</v>
      </c>
      <c r="I392" t="b">
        <v>0</v>
      </c>
      <c r="J392">
        <v>48238.540420461803</v>
      </c>
      <c r="K392">
        <v>275440.84894961101</v>
      </c>
      <c r="L392" s="3">
        <v>5.7099747742942597</v>
      </c>
      <c r="M392">
        <v>3.6</v>
      </c>
      <c r="N392">
        <v>41.05</v>
      </c>
      <c r="O392">
        <v>322.05</v>
      </c>
    </row>
    <row r="393" spans="1:17" x14ac:dyDescent="0.2">
      <c r="A393" s="1" t="s">
        <v>505</v>
      </c>
      <c r="B393" s="1">
        <v>1</v>
      </c>
      <c r="C393" s="1">
        <v>750</v>
      </c>
      <c r="D393" s="1">
        <v>910</v>
      </c>
      <c r="E393" s="1">
        <v>1</v>
      </c>
      <c r="F393" s="1" t="s">
        <v>15</v>
      </c>
      <c r="G393" s="1" t="b">
        <v>0</v>
      </c>
      <c r="H393" s="1">
        <v>1</v>
      </c>
      <c r="I393" s="1" t="b">
        <v>0</v>
      </c>
      <c r="J393" s="1">
        <v>48922.785874806097</v>
      </c>
      <c r="K393" s="1">
        <v>283788.26827916497</v>
      </c>
      <c r="L393" s="4">
        <v>5.8007381060715204</v>
      </c>
      <c r="M393" s="1">
        <v>4.38</v>
      </c>
      <c r="N393" s="1">
        <v>34.770000000000003</v>
      </c>
      <c r="O393" s="1">
        <v>273.57</v>
      </c>
      <c r="P393" s="9">
        <f>AVERAGE(L390:L393)</f>
        <v>5.7792110705926847</v>
      </c>
      <c r="Q393" s="9">
        <f>STDEV(L390:L393)</f>
        <v>8.5656517964321402E-2</v>
      </c>
    </row>
    <row r="394" spans="1:17" x14ac:dyDescent="0.2">
      <c r="A394" t="s">
        <v>506</v>
      </c>
      <c r="B394">
        <v>1</v>
      </c>
      <c r="C394">
        <v>750</v>
      </c>
      <c r="D394">
        <v>910</v>
      </c>
      <c r="E394">
        <v>1</v>
      </c>
      <c r="F394" t="s">
        <v>15</v>
      </c>
      <c r="G394" t="b">
        <v>0</v>
      </c>
      <c r="H394">
        <v>1</v>
      </c>
      <c r="I394" t="b">
        <v>0</v>
      </c>
      <c r="J394">
        <v>45098.083751796599</v>
      </c>
      <c r="K394">
        <v>277994.819009286</v>
      </c>
      <c r="L394" s="3">
        <v>6.1642268558297797</v>
      </c>
      <c r="M394">
        <v>5.49</v>
      </c>
      <c r="N394">
        <v>31.82</v>
      </c>
      <c r="O394">
        <v>218.98</v>
      </c>
    </row>
    <row r="395" spans="1:17" x14ac:dyDescent="0.2">
      <c r="A395" t="s">
        <v>507</v>
      </c>
      <c r="B395">
        <v>1</v>
      </c>
      <c r="C395">
        <v>750</v>
      </c>
      <c r="D395">
        <v>910</v>
      </c>
      <c r="E395">
        <v>1</v>
      </c>
      <c r="F395" t="s">
        <v>15</v>
      </c>
      <c r="G395" t="b">
        <v>0</v>
      </c>
      <c r="H395">
        <v>1</v>
      </c>
      <c r="I395" t="b">
        <v>0</v>
      </c>
      <c r="J395">
        <v>44599.245286186102</v>
      </c>
      <c r="K395">
        <v>268513.97553946701</v>
      </c>
      <c r="L395" s="3">
        <v>6.0205946046049998</v>
      </c>
      <c r="M395">
        <v>5.04</v>
      </c>
      <c r="N395">
        <v>34.61</v>
      </c>
      <c r="O395">
        <v>235.09</v>
      </c>
    </row>
    <row r="396" spans="1:17" x14ac:dyDescent="0.2">
      <c r="A396" s="1" t="s">
        <v>508</v>
      </c>
      <c r="B396" s="1">
        <v>1</v>
      </c>
      <c r="C396" s="1">
        <v>750</v>
      </c>
      <c r="D396" s="1">
        <v>910</v>
      </c>
      <c r="E396" s="1">
        <v>1</v>
      </c>
      <c r="F396" s="1" t="s">
        <v>15</v>
      </c>
      <c r="G396" s="1" t="b">
        <v>0</v>
      </c>
      <c r="H396" s="1">
        <v>1</v>
      </c>
      <c r="I396" s="1" t="b">
        <v>0</v>
      </c>
      <c r="J396" s="1">
        <v>41412.534468706297</v>
      </c>
      <c r="K396" s="1">
        <v>252635.10454202199</v>
      </c>
      <c r="L396" s="4">
        <v>6.1004502086905097</v>
      </c>
      <c r="M396" s="1">
        <v>5.75</v>
      </c>
      <c r="N396" s="1">
        <v>28.1</v>
      </c>
      <c r="O396" s="1">
        <v>191.8</v>
      </c>
      <c r="P396" s="9">
        <f>AVERAGE(L394:L396)</f>
        <v>6.095090556375097</v>
      </c>
      <c r="Q396" s="9">
        <f>STDEV(L394:L396)</f>
        <v>7.1965966280465893E-2</v>
      </c>
    </row>
    <row r="397" spans="1:17" x14ac:dyDescent="0.2">
      <c r="A397" t="s">
        <v>509</v>
      </c>
      <c r="B397">
        <v>1</v>
      </c>
      <c r="C397">
        <v>750</v>
      </c>
      <c r="D397">
        <v>910</v>
      </c>
      <c r="E397">
        <v>1</v>
      </c>
      <c r="F397" t="s">
        <v>15</v>
      </c>
      <c r="G397" t="b">
        <v>0</v>
      </c>
      <c r="H397">
        <v>1</v>
      </c>
      <c r="I397" t="b">
        <v>0</v>
      </c>
      <c r="J397">
        <v>50575.773668123999</v>
      </c>
      <c r="K397">
        <v>255731.214167895</v>
      </c>
      <c r="L397" s="3">
        <v>5.0563974729480599</v>
      </c>
      <c r="M397">
        <v>4.62</v>
      </c>
      <c r="N397">
        <v>42.29</v>
      </c>
      <c r="O397">
        <v>242.16</v>
      </c>
    </row>
    <row r="398" spans="1:17" x14ac:dyDescent="0.2">
      <c r="A398" t="s">
        <v>510</v>
      </c>
      <c r="B398">
        <v>1</v>
      </c>
      <c r="C398">
        <v>750</v>
      </c>
      <c r="D398">
        <v>910</v>
      </c>
      <c r="E398">
        <v>1</v>
      </c>
      <c r="F398" t="s">
        <v>15</v>
      </c>
      <c r="G398" t="b">
        <v>0</v>
      </c>
      <c r="H398">
        <v>1</v>
      </c>
      <c r="I398" t="b">
        <v>0</v>
      </c>
      <c r="J398">
        <v>53665.990543107997</v>
      </c>
      <c r="K398">
        <v>262265.78449428699</v>
      </c>
      <c r="L398" s="3">
        <v>4.8870016530043898</v>
      </c>
      <c r="M398">
        <v>5.37</v>
      </c>
      <c r="N398">
        <v>38.36</v>
      </c>
      <c r="O398">
        <v>216.73</v>
      </c>
    </row>
    <row r="399" spans="1:17" x14ac:dyDescent="0.2">
      <c r="A399" t="s">
        <v>511</v>
      </c>
      <c r="B399">
        <v>1</v>
      </c>
      <c r="C399">
        <v>750</v>
      </c>
      <c r="D399">
        <v>910</v>
      </c>
      <c r="E399">
        <v>1</v>
      </c>
      <c r="F399" t="s">
        <v>15</v>
      </c>
      <c r="G399" t="b">
        <v>0</v>
      </c>
      <c r="H399">
        <v>1</v>
      </c>
      <c r="I399" t="b">
        <v>0</v>
      </c>
      <c r="J399">
        <v>51588.823698046101</v>
      </c>
      <c r="K399">
        <v>251514.27204535899</v>
      </c>
      <c r="L399" s="3">
        <v>4.87536357714791</v>
      </c>
      <c r="M399">
        <v>4.3099999999999996</v>
      </c>
      <c r="N399">
        <v>46.08</v>
      </c>
      <c r="O399">
        <v>257.12</v>
      </c>
    </row>
    <row r="400" spans="1:17" x14ac:dyDescent="0.2">
      <c r="A400" s="1" t="s">
        <v>512</v>
      </c>
      <c r="B400" s="1">
        <v>1</v>
      </c>
      <c r="C400" s="1">
        <v>750</v>
      </c>
      <c r="D400" s="1">
        <v>910</v>
      </c>
      <c r="E400" s="1">
        <v>1</v>
      </c>
      <c r="F400" s="1" t="s">
        <v>15</v>
      </c>
      <c r="G400" s="1" t="b">
        <v>0</v>
      </c>
      <c r="H400" s="1">
        <v>1</v>
      </c>
      <c r="I400" s="1" t="b">
        <v>0</v>
      </c>
      <c r="J400" s="1">
        <v>54137.043710508602</v>
      </c>
      <c r="K400" s="1">
        <v>265286.91657199099</v>
      </c>
      <c r="L400" s="4">
        <v>4.9002845074175303</v>
      </c>
      <c r="M400" s="1">
        <v>4.76</v>
      </c>
      <c r="N400" s="1">
        <v>44.35</v>
      </c>
      <c r="O400" s="1">
        <v>244.62</v>
      </c>
      <c r="P400" s="9">
        <f>AVERAGE(L397:L400)</f>
        <v>4.9297618026294723</v>
      </c>
      <c r="Q400" s="9">
        <f>STDEV(L397:L400)</f>
        <v>8.5035485262628857E-2</v>
      </c>
    </row>
    <row r="401" spans="1:17" x14ac:dyDescent="0.2">
      <c r="A401" t="s">
        <v>513</v>
      </c>
      <c r="B401">
        <v>1</v>
      </c>
      <c r="C401">
        <v>750</v>
      </c>
      <c r="D401">
        <v>910</v>
      </c>
      <c r="E401">
        <v>1</v>
      </c>
      <c r="F401" t="s">
        <v>15</v>
      </c>
      <c r="G401" t="b">
        <v>0</v>
      </c>
      <c r="H401">
        <v>1</v>
      </c>
      <c r="I401" t="b">
        <v>0</v>
      </c>
      <c r="J401">
        <v>47083.274798517399</v>
      </c>
      <c r="K401">
        <v>243463.87653501</v>
      </c>
      <c r="L401" s="3">
        <v>5.1709206204721303</v>
      </c>
      <c r="M401">
        <v>4.9400000000000004</v>
      </c>
      <c r="N401">
        <v>36.17</v>
      </c>
      <c r="O401">
        <v>218.8</v>
      </c>
    </row>
    <row r="402" spans="1:17" x14ac:dyDescent="0.2">
      <c r="A402" t="s">
        <v>514</v>
      </c>
      <c r="B402">
        <v>1</v>
      </c>
      <c r="C402">
        <v>750</v>
      </c>
      <c r="D402">
        <v>910</v>
      </c>
      <c r="E402">
        <v>1</v>
      </c>
      <c r="F402" t="s">
        <v>15</v>
      </c>
      <c r="G402" t="b">
        <v>0</v>
      </c>
      <c r="H402">
        <v>1</v>
      </c>
      <c r="I402" t="b">
        <v>0</v>
      </c>
      <c r="J402">
        <v>50005.545253538199</v>
      </c>
      <c r="K402">
        <v>277849.95071873302</v>
      </c>
      <c r="L402" s="3">
        <v>5.5563827833488801</v>
      </c>
      <c r="M402">
        <v>5.0999999999999996</v>
      </c>
      <c r="N402">
        <v>37.18</v>
      </c>
      <c r="O402">
        <v>239.94</v>
      </c>
    </row>
    <row r="403" spans="1:17" x14ac:dyDescent="0.2">
      <c r="A403" t="s">
        <v>515</v>
      </c>
      <c r="B403">
        <v>1</v>
      </c>
      <c r="C403">
        <v>750</v>
      </c>
      <c r="D403">
        <v>910</v>
      </c>
      <c r="E403">
        <v>1</v>
      </c>
      <c r="F403" t="s">
        <v>15</v>
      </c>
      <c r="G403" t="b">
        <v>0</v>
      </c>
      <c r="H403">
        <v>1</v>
      </c>
      <c r="I403" t="b">
        <v>0</v>
      </c>
      <c r="J403">
        <v>47614.024731913603</v>
      </c>
      <c r="K403">
        <v>267089.55984803801</v>
      </c>
      <c r="L403" s="3">
        <v>5.60947244749548</v>
      </c>
      <c r="M403">
        <v>5.24</v>
      </c>
      <c r="N403">
        <v>34.57</v>
      </c>
      <c r="O403">
        <v>219.64</v>
      </c>
    </row>
    <row r="404" spans="1:17" x14ac:dyDescent="0.2">
      <c r="A404" t="s">
        <v>516</v>
      </c>
      <c r="B404">
        <v>1</v>
      </c>
      <c r="C404">
        <v>750</v>
      </c>
      <c r="D404">
        <v>910</v>
      </c>
      <c r="E404">
        <v>1</v>
      </c>
      <c r="F404" t="s">
        <v>15</v>
      </c>
      <c r="G404" t="b">
        <v>0</v>
      </c>
      <c r="H404">
        <v>1</v>
      </c>
      <c r="I404" t="b">
        <v>0</v>
      </c>
      <c r="J404">
        <v>52766.0414838543</v>
      </c>
      <c r="K404">
        <v>266608.097759464</v>
      </c>
      <c r="L404" s="3">
        <v>5.0526454185698704</v>
      </c>
      <c r="M404">
        <v>5.76</v>
      </c>
      <c r="N404">
        <v>34.880000000000003</v>
      </c>
      <c r="O404">
        <v>203.27</v>
      </c>
    </row>
    <row r="405" spans="1:17" x14ac:dyDescent="0.2">
      <c r="A405" s="1" t="s">
        <v>517</v>
      </c>
      <c r="B405" s="1">
        <v>1</v>
      </c>
      <c r="C405" s="1">
        <v>750</v>
      </c>
      <c r="D405" s="1">
        <v>910</v>
      </c>
      <c r="E405" s="1">
        <v>1</v>
      </c>
      <c r="F405" s="1" t="s">
        <v>15</v>
      </c>
      <c r="G405" s="1" t="b">
        <v>0</v>
      </c>
      <c r="H405" s="1">
        <v>1</v>
      </c>
      <c r="I405" s="1" t="b">
        <v>0</v>
      </c>
      <c r="J405" s="1">
        <v>55773.113106921897</v>
      </c>
      <c r="K405" s="1">
        <v>280725.85165811301</v>
      </c>
      <c r="L405" s="4">
        <v>5.0333545326748599</v>
      </c>
      <c r="M405" s="1">
        <v>5.57</v>
      </c>
      <c r="N405" s="1">
        <v>38.200000000000003</v>
      </c>
      <c r="O405" s="1">
        <v>221.03</v>
      </c>
      <c r="P405" s="9">
        <f>AVERAGE(L401:L405)</f>
        <v>5.2845551605122445</v>
      </c>
      <c r="Q405" s="9">
        <f>STDEV(L401:L405)</f>
        <v>0.27805493721626556</v>
      </c>
    </row>
    <row r="406" spans="1:17" x14ac:dyDescent="0.2">
      <c r="A406" t="s">
        <v>518</v>
      </c>
      <c r="B406">
        <v>1</v>
      </c>
      <c r="C406">
        <v>750</v>
      </c>
      <c r="D406">
        <v>910</v>
      </c>
      <c r="E406">
        <v>1</v>
      </c>
      <c r="F406" t="s">
        <v>15</v>
      </c>
      <c r="G406" t="b">
        <v>0</v>
      </c>
      <c r="H406">
        <v>1</v>
      </c>
      <c r="I406" t="b">
        <v>0</v>
      </c>
      <c r="J406">
        <v>50112.6687198445</v>
      </c>
      <c r="K406">
        <v>242991.54780973101</v>
      </c>
      <c r="L406" s="3">
        <v>4.84890455880885</v>
      </c>
      <c r="M406">
        <v>4.6500000000000004</v>
      </c>
      <c r="N406">
        <v>34.880000000000003</v>
      </c>
      <c r="O406">
        <v>228.98</v>
      </c>
    </row>
    <row r="407" spans="1:17" x14ac:dyDescent="0.2">
      <c r="A407" t="s">
        <v>519</v>
      </c>
      <c r="B407">
        <v>1</v>
      </c>
      <c r="C407">
        <v>750</v>
      </c>
      <c r="D407">
        <v>910</v>
      </c>
      <c r="E407">
        <v>1</v>
      </c>
      <c r="F407" t="s">
        <v>15</v>
      </c>
      <c r="G407" t="b">
        <v>0</v>
      </c>
      <c r="H407">
        <v>1</v>
      </c>
      <c r="I407" t="b">
        <v>0</v>
      </c>
      <c r="J407">
        <v>50308.284929567897</v>
      </c>
      <c r="K407">
        <v>250234.03275769</v>
      </c>
      <c r="L407" s="3">
        <v>4.9740123939430596</v>
      </c>
      <c r="M407">
        <v>4.26</v>
      </c>
      <c r="N407">
        <v>39.43</v>
      </c>
      <c r="O407">
        <v>253.88</v>
      </c>
    </row>
    <row r="408" spans="1:17" x14ac:dyDescent="0.2">
      <c r="A408" s="1" t="s">
        <v>520</v>
      </c>
      <c r="B408" s="1">
        <v>1</v>
      </c>
      <c r="C408" s="1">
        <v>750</v>
      </c>
      <c r="D408" s="1">
        <v>910</v>
      </c>
      <c r="E408" s="1">
        <v>1</v>
      </c>
      <c r="F408" s="1" t="s">
        <v>15</v>
      </c>
      <c r="G408" s="1" t="b">
        <v>0</v>
      </c>
      <c r="H408" s="1">
        <v>1</v>
      </c>
      <c r="I408" s="1" t="b">
        <v>0</v>
      </c>
      <c r="J408" s="1">
        <v>50890.595361683598</v>
      </c>
      <c r="K408" s="1">
        <v>252820.98708291299</v>
      </c>
      <c r="L408" s="4">
        <v>4.9679314082708999</v>
      </c>
      <c r="M408" s="1">
        <v>5.26</v>
      </c>
      <c r="N408" s="1">
        <v>31.91</v>
      </c>
      <c r="O408" s="1">
        <v>207.2</v>
      </c>
      <c r="P408" s="9">
        <f>AVERAGE(L406:L408)</f>
        <v>4.9302827870076031</v>
      </c>
      <c r="Q408" s="9">
        <f>STDEV(L406:L408)</f>
        <v>7.0541169647678176E-2</v>
      </c>
    </row>
    <row r="409" spans="1:17" x14ac:dyDescent="0.2">
      <c r="A409" t="s">
        <v>521</v>
      </c>
      <c r="B409">
        <v>1</v>
      </c>
      <c r="C409">
        <v>750</v>
      </c>
      <c r="D409">
        <v>910</v>
      </c>
      <c r="E409">
        <v>1</v>
      </c>
      <c r="F409" t="s">
        <v>15</v>
      </c>
      <c r="G409" t="b">
        <v>0</v>
      </c>
      <c r="H409">
        <v>1</v>
      </c>
      <c r="I409" t="b">
        <v>0</v>
      </c>
      <c r="J409">
        <v>37660.1190972521</v>
      </c>
      <c r="K409">
        <v>221693.34819867701</v>
      </c>
      <c r="L409" s="3">
        <v>5.8866873900792704</v>
      </c>
      <c r="M409">
        <v>4.55</v>
      </c>
      <c r="N409">
        <v>28.69</v>
      </c>
      <c r="O409">
        <v>208.4</v>
      </c>
    </row>
    <row r="410" spans="1:17" x14ac:dyDescent="0.2">
      <c r="A410" s="1" t="s">
        <v>522</v>
      </c>
      <c r="B410" s="1">
        <v>1</v>
      </c>
      <c r="C410" s="1">
        <v>750</v>
      </c>
      <c r="D410" s="1">
        <v>910</v>
      </c>
      <c r="E410" s="1">
        <v>1</v>
      </c>
      <c r="F410" s="1" t="s">
        <v>15</v>
      </c>
      <c r="G410" s="1" t="b">
        <v>0</v>
      </c>
      <c r="H410" s="1">
        <v>1</v>
      </c>
      <c r="I410" s="1" t="b">
        <v>0</v>
      </c>
      <c r="J410" s="1">
        <v>48419.837295242301</v>
      </c>
      <c r="K410" s="1">
        <v>278490.57668482198</v>
      </c>
      <c r="L410" s="4">
        <v>5.75158018369026</v>
      </c>
      <c r="M410" s="1">
        <v>4.8899999999999997</v>
      </c>
      <c r="N410" s="1">
        <v>34.46</v>
      </c>
      <c r="O410" s="1">
        <v>245.33</v>
      </c>
      <c r="P410" s="9">
        <f>AVERAGE(L409:L410)</f>
        <v>5.8191337868847652</v>
      </c>
      <c r="Q410" s="9">
        <f>STDEV(L409:L410)</f>
        <v>9.55352218248397E-2</v>
      </c>
    </row>
    <row r="411" spans="1:17" x14ac:dyDescent="0.2">
      <c r="A411" t="s">
        <v>523</v>
      </c>
      <c r="B411">
        <v>1</v>
      </c>
      <c r="C411">
        <v>750</v>
      </c>
      <c r="D411">
        <v>910</v>
      </c>
      <c r="E411">
        <v>1</v>
      </c>
      <c r="F411" t="s">
        <v>15</v>
      </c>
      <c r="G411" t="b">
        <v>0</v>
      </c>
      <c r="H411">
        <v>1</v>
      </c>
      <c r="I411" t="b">
        <v>0</v>
      </c>
      <c r="J411">
        <v>50812.1639827166</v>
      </c>
      <c r="K411">
        <v>298948.05051119003</v>
      </c>
      <c r="L411" s="3">
        <v>5.8833953738493703</v>
      </c>
      <c r="M411">
        <v>4.67</v>
      </c>
      <c r="N411">
        <v>38.22</v>
      </c>
      <c r="O411">
        <v>272.22000000000003</v>
      </c>
    </row>
    <row r="412" spans="1:17" x14ac:dyDescent="0.2">
      <c r="A412" s="1" t="s">
        <v>524</v>
      </c>
      <c r="B412" s="1">
        <v>1</v>
      </c>
      <c r="C412" s="1">
        <v>750</v>
      </c>
      <c r="D412" s="1">
        <v>910</v>
      </c>
      <c r="E412" s="1">
        <v>1</v>
      </c>
      <c r="F412" s="1" t="s">
        <v>15</v>
      </c>
      <c r="G412" s="1" t="b">
        <v>0</v>
      </c>
      <c r="H412" s="1">
        <v>1</v>
      </c>
      <c r="I412" s="1" t="b">
        <v>0</v>
      </c>
      <c r="J412" s="1">
        <v>47137.0341340456</v>
      </c>
      <c r="K412" s="1">
        <v>278001.230062838</v>
      </c>
      <c r="L412" s="4">
        <v>5.8977242664923297</v>
      </c>
      <c r="M412" s="1">
        <v>4.45</v>
      </c>
      <c r="N412" s="1">
        <v>37.15</v>
      </c>
      <c r="O412" s="1">
        <v>268.43</v>
      </c>
      <c r="P412" s="9">
        <f>AVERAGE(L411:L412)</f>
        <v>5.89055982017085</v>
      </c>
      <c r="Q412" s="9">
        <f>STDEV(L411:L412)</f>
        <v>1.0132057154730655E-2</v>
      </c>
    </row>
    <row r="413" spans="1:17" x14ac:dyDescent="0.2">
      <c r="A413" t="s">
        <v>525</v>
      </c>
      <c r="B413">
        <v>1</v>
      </c>
      <c r="C413">
        <v>750</v>
      </c>
      <c r="D413">
        <v>910</v>
      </c>
      <c r="E413">
        <v>1</v>
      </c>
      <c r="F413" t="s">
        <v>15</v>
      </c>
      <c r="G413" t="b">
        <v>0</v>
      </c>
      <c r="H413">
        <v>1</v>
      </c>
      <c r="I413" t="b">
        <v>0</v>
      </c>
      <c r="J413">
        <v>50133.3651188</v>
      </c>
      <c r="K413">
        <v>258963.938199622</v>
      </c>
      <c r="L413" s="3">
        <v>5.1655008114049403</v>
      </c>
      <c r="M413">
        <v>5.43</v>
      </c>
      <c r="N413">
        <v>32.6</v>
      </c>
      <c r="O413">
        <v>205.98</v>
      </c>
    </row>
    <row r="414" spans="1:17" x14ac:dyDescent="0.2">
      <c r="A414" t="s">
        <v>526</v>
      </c>
      <c r="B414">
        <v>1</v>
      </c>
      <c r="C414">
        <v>750</v>
      </c>
      <c r="D414">
        <v>910</v>
      </c>
      <c r="E414">
        <v>1</v>
      </c>
      <c r="F414" t="s">
        <v>15</v>
      </c>
      <c r="G414" t="b">
        <v>0</v>
      </c>
      <c r="H414">
        <v>1</v>
      </c>
      <c r="I414" t="b">
        <v>0</v>
      </c>
      <c r="J414">
        <v>45363.828289210403</v>
      </c>
      <c r="K414">
        <v>236858.40459535501</v>
      </c>
      <c r="L414" s="3">
        <v>5.2213054657843099</v>
      </c>
      <c r="M414">
        <v>4.32</v>
      </c>
      <c r="N414">
        <v>37.19</v>
      </c>
      <c r="O414">
        <v>236.67</v>
      </c>
    </row>
    <row r="415" spans="1:17" x14ac:dyDescent="0.2">
      <c r="A415" s="1" t="s">
        <v>527</v>
      </c>
      <c r="B415" s="1">
        <v>1</v>
      </c>
      <c r="C415" s="1">
        <v>750</v>
      </c>
      <c r="D415" s="1">
        <v>910</v>
      </c>
      <c r="E415" s="1">
        <v>1</v>
      </c>
      <c r="F415" s="1" t="s">
        <v>15</v>
      </c>
      <c r="G415" s="1" t="b">
        <v>0</v>
      </c>
      <c r="H415" s="1">
        <v>1</v>
      </c>
      <c r="I415" s="1" t="b">
        <v>0</v>
      </c>
      <c r="J415" s="1">
        <v>49346.783226964602</v>
      </c>
      <c r="K415" s="1">
        <v>252467.07351450299</v>
      </c>
      <c r="L415" s="4">
        <v>5.1161809748228402</v>
      </c>
      <c r="M415" s="1">
        <v>4.71</v>
      </c>
      <c r="N415" s="1">
        <v>37.11</v>
      </c>
      <c r="O415" s="1">
        <v>231.13</v>
      </c>
      <c r="P415" s="9">
        <f>AVERAGE(L413:L415)</f>
        <v>5.1676624173373638</v>
      </c>
      <c r="Q415" s="9">
        <f>STDEV(L413:L415)</f>
        <v>5.2595570679785819E-2</v>
      </c>
    </row>
    <row r="416" spans="1:17" x14ac:dyDescent="0.2">
      <c r="A416" t="s">
        <v>528</v>
      </c>
      <c r="B416">
        <v>1</v>
      </c>
      <c r="C416">
        <v>750</v>
      </c>
      <c r="D416">
        <v>910</v>
      </c>
      <c r="E416">
        <v>1</v>
      </c>
      <c r="F416" t="s">
        <v>15</v>
      </c>
      <c r="G416" t="b">
        <v>0</v>
      </c>
      <c r="H416">
        <v>1</v>
      </c>
      <c r="I416" t="b">
        <v>0</v>
      </c>
      <c r="J416">
        <v>39241.354639136298</v>
      </c>
      <c r="K416">
        <v>139767.68100497499</v>
      </c>
      <c r="L416" s="3">
        <v>3.5617445496028299</v>
      </c>
      <c r="M416">
        <v>3.81</v>
      </c>
      <c r="N416">
        <v>36.020000000000003</v>
      </c>
      <c r="O416">
        <v>166.27</v>
      </c>
    </row>
    <row r="417" spans="1:17" x14ac:dyDescent="0.2">
      <c r="A417" t="s">
        <v>529</v>
      </c>
      <c r="B417">
        <v>1</v>
      </c>
      <c r="C417">
        <v>750</v>
      </c>
      <c r="D417">
        <v>910</v>
      </c>
      <c r="E417">
        <v>1</v>
      </c>
      <c r="F417" t="s">
        <v>15</v>
      </c>
      <c r="G417" t="b">
        <v>0</v>
      </c>
      <c r="H417">
        <v>1</v>
      </c>
      <c r="I417" t="b">
        <v>0</v>
      </c>
      <c r="J417">
        <v>42747.912051872903</v>
      </c>
      <c r="K417">
        <v>153460.42605799201</v>
      </c>
      <c r="L417" s="3">
        <v>3.5898929021790398</v>
      </c>
      <c r="M417">
        <v>4.3600000000000003</v>
      </c>
      <c r="N417">
        <v>34.85</v>
      </c>
      <c r="O417">
        <v>156.09</v>
      </c>
    </row>
    <row r="418" spans="1:17" x14ac:dyDescent="0.2">
      <c r="A418" s="1" t="s">
        <v>530</v>
      </c>
      <c r="B418" s="1">
        <v>1</v>
      </c>
      <c r="C418" s="1">
        <v>750</v>
      </c>
      <c r="D418" s="1">
        <v>910</v>
      </c>
      <c r="E418" s="1">
        <v>1</v>
      </c>
      <c r="F418" s="1" t="s">
        <v>15</v>
      </c>
      <c r="G418" s="1" t="b">
        <v>0</v>
      </c>
      <c r="H418" s="1">
        <v>1</v>
      </c>
      <c r="I418" s="1" t="b">
        <v>0</v>
      </c>
      <c r="J418" s="1">
        <v>42793.228034191103</v>
      </c>
      <c r="K418" s="1">
        <v>151523.932740927</v>
      </c>
      <c r="L418" s="4">
        <v>3.54083904630569</v>
      </c>
      <c r="M418" s="1">
        <v>3.61</v>
      </c>
      <c r="N418" s="1">
        <v>41.53</v>
      </c>
      <c r="O418" s="1">
        <v>187.15</v>
      </c>
      <c r="P418" s="9">
        <f>AVERAGE(L416:L418)</f>
        <v>3.5641588326958531</v>
      </c>
      <c r="Q418" s="9">
        <f>STDEV(L416:L418)</f>
        <v>2.4615884427555846E-2</v>
      </c>
    </row>
    <row r="419" spans="1:17" x14ac:dyDescent="0.2">
      <c r="A419" t="s">
        <v>531</v>
      </c>
      <c r="B419">
        <v>1</v>
      </c>
      <c r="C419">
        <v>750</v>
      </c>
      <c r="D419">
        <v>910</v>
      </c>
      <c r="E419">
        <v>1</v>
      </c>
      <c r="F419" t="s">
        <v>15</v>
      </c>
      <c r="G419" t="b">
        <v>0</v>
      </c>
      <c r="H419">
        <v>1</v>
      </c>
      <c r="I419" t="b">
        <v>0</v>
      </c>
      <c r="J419">
        <v>42084.584536759998</v>
      </c>
      <c r="K419">
        <v>169013.605806999</v>
      </c>
      <c r="L419" s="3">
        <v>4.0160454871395803</v>
      </c>
      <c r="M419">
        <v>4.2300000000000004</v>
      </c>
      <c r="N419">
        <v>33.479999999999997</v>
      </c>
      <c r="O419">
        <v>172.09</v>
      </c>
    </row>
    <row r="420" spans="1:17" x14ac:dyDescent="0.2">
      <c r="A420" t="s">
        <v>532</v>
      </c>
      <c r="B420">
        <v>1</v>
      </c>
      <c r="C420">
        <v>750</v>
      </c>
      <c r="D420">
        <v>910</v>
      </c>
      <c r="E420">
        <v>1</v>
      </c>
      <c r="F420" t="s">
        <v>15</v>
      </c>
      <c r="G420" t="b">
        <v>0</v>
      </c>
      <c r="H420">
        <v>1</v>
      </c>
      <c r="I420" t="b">
        <v>0</v>
      </c>
      <c r="J420">
        <v>43768.004829042897</v>
      </c>
      <c r="K420">
        <v>171916.02825202799</v>
      </c>
      <c r="L420" s="3">
        <v>3.9278927363385598</v>
      </c>
      <c r="M420">
        <v>5.38</v>
      </c>
      <c r="N420">
        <v>27.44</v>
      </c>
      <c r="O420">
        <v>138.26</v>
      </c>
    </row>
    <row r="421" spans="1:17" x14ac:dyDescent="0.2">
      <c r="A421" s="1" t="s">
        <v>533</v>
      </c>
      <c r="B421" s="1">
        <v>1</v>
      </c>
      <c r="C421" s="1">
        <v>750</v>
      </c>
      <c r="D421" s="1">
        <v>910</v>
      </c>
      <c r="E421" s="1">
        <v>1</v>
      </c>
      <c r="F421" s="1" t="s">
        <v>15</v>
      </c>
      <c r="G421" s="1" t="b">
        <v>0</v>
      </c>
      <c r="H421" s="1">
        <v>1</v>
      </c>
      <c r="I421" s="1" t="b">
        <v>0</v>
      </c>
      <c r="J421" s="1">
        <v>42655.297385935301</v>
      </c>
      <c r="K421" s="1">
        <v>175311.173840868</v>
      </c>
      <c r="L421" s="4">
        <v>4.1099508052820104</v>
      </c>
      <c r="M421" s="1">
        <v>3.72</v>
      </c>
      <c r="N421" s="1">
        <v>38.68</v>
      </c>
      <c r="O421" s="1">
        <v>199.45</v>
      </c>
      <c r="P421" s="9">
        <f>AVERAGE(L419:L421)</f>
        <v>4.0179630095867163</v>
      </c>
      <c r="Q421" s="9">
        <f>STDEV(L419:L421)</f>
        <v>9.1044180407679018E-2</v>
      </c>
    </row>
    <row r="423" spans="1:17" x14ac:dyDescent="0.2">
      <c r="A423" s="1"/>
      <c r="B423" s="1" t="s">
        <v>0</v>
      </c>
      <c r="C423" s="1" t="s">
        <v>1</v>
      </c>
      <c r="D423" s="1" t="s">
        <v>2</v>
      </c>
      <c r="E423" s="1" t="s">
        <v>3</v>
      </c>
      <c r="F423" s="1" t="s">
        <v>4</v>
      </c>
      <c r="G423" s="1" t="s">
        <v>5</v>
      </c>
      <c r="H423" s="1" t="s">
        <v>6</v>
      </c>
      <c r="I423" s="1" t="s">
        <v>7</v>
      </c>
      <c r="J423" s="1" t="s">
        <v>8</v>
      </c>
      <c r="K423" s="1" t="s">
        <v>9</v>
      </c>
      <c r="L423" s="4" t="s">
        <v>10</v>
      </c>
      <c r="M423" s="1" t="s">
        <v>11</v>
      </c>
      <c r="N423" s="1" t="s">
        <v>12</v>
      </c>
      <c r="O423" s="1" t="s">
        <v>13</v>
      </c>
      <c r="P423" s="1"/>
      <c r="Q423" s="1"/>
    </row>
    <row r="424" spans="1:17" x14ac:dyDescent="0.2">
      <c r="A424" t="s">
        <v>534</v>
      </c>
      <c r="B424">
        <v>1</v>
      </c>
      <c r="C424">
        <v>750</v>
      </c>
      <c r="D424">
        <v>910</v>
      </c>
      <c r="E424">
        <v>1</v>
      </c>
      <c r="F424" t="s">
        <v>15</v>
      </c>
      <c r="G424" t="b">
        <v>0</v>
      </c>
      <c r="H424">
        <v>1</v>
      </c>
      <c r="I424" t="b">
        <v>0</v>
      </c>
      <c r="J424">
        <v>60346.461465013199</v>
      </c>
      <c r="K424">
        <v>22246.357938771202</v>
      </c>
      <c r="L424" s="3">
        <v>0.36864395026158803</v>
      </c>
      <c r="M424">
        <v>4.3600000000000003</v>
      </c>
      <c r="N424">
        <v>45.5</v>
      </c>
      <c r="O424">
        <v>24.04</v>
      </c>
    </row>
    <row r="425" spans="1:17" x14ac:dyDescent="0.2">
      <c r="A425" t="s">
        <v>535</v>
      </c>
      <c r="B425">
        <v>1</v>
      </c>
      <c r="C425">
        <v>750</v>
      </c>
      <c r="D425">
        <v>910</v>
      </c>
      <c r="E425">
        <v>1</v>
      </c>
      <c r="F425" t="s">
        <v>15</v>
      </c>
      <c r="G425" t="b">
        <v>0</v>
      </c>
      <c r="H425">
        <v>1</v>
      </c>
      <c r="I425" t="b">
        <v>0</v>
      </c>
      <c r="J425">
        <v>65099.815012606203</v>
      </c>
      <c r="K425">
        <v>24641.509700170602</v>
      </c>
      <c r="L425" s="3">
        <v>0.378518889729547</v>
      </c>
      <c r="M425">
        <v>4.97</v>
      </c>
      <c r="N425">
        <v>43.62</v>
      </c>
      <c r="O425">
        <v>22.59</v>
      </c>
    </row>
    <row r="426" spans="1:17" x14ac:dyDescent="0.2">
      <c r="A426" t="s">
        <v>536</v>
      </c>
      <c r="B426">
        <v>1</v>
      </c>
      <c r="C426">
        <v>750</v>
      </c>
      <c r="D426">
        <v>910</v>
      </c>
      <c r="E426">
        <v>1</v>
      </c>
      <c r="F426" t="s">
        <v>15</v>
      </c>
      <c r="G426" t="b">
        <v>0</v>
      </c>
      <c r="H426">
        <v>1</v>
      </c>
      <c r="I426" t="b">
        <v>0</v>
      </c>
      <c r="J426">
        <v>66067.0316093703</v>
      </c>
      <c r="K426">
        <v>21299.1466771058</v>
      </c>
      <c r="L426" s="3">
        <v>0.32238691762390298</v>
      </c>
      <c r="M426">
        <v>4.13</v>
      </c>
      <c r="N426">
        <v>53.56</v>
      </c>
      <c r="O426">
        <v>25.09</v>
      </c>
    </row>
    <row r="427" spans="1:17" x14ac:dyDescent="0.2">
      <c r="A427" s="1" t="s">
        <v>537</v>
      </c>
      <c r="B427" s="1">
        <v>1</v>
      </c>
      <c r="C427" s="1">
        <v>750</v>
      </c>
      <c r="D427" s="1">
        <v>910</v>
      </c>
      <c r="E427" s="1">
        <v>1</v>
      </c>
      <c r="F427" s="1" t="s">
        <v>15</v>
      </c>
      <c r="G427" s="1" t="b">
        <v>0</v>
      </c>
      <c r="H427" s="1">
        <v>1</v>
      </c>
      <c r="I427" s="1" t="b">
        <v>0</v>
      </c>
      <c r="J427" s="1">
        <v>59004.072871590797</v>
      </c>
      <c r="K427" s="1">
        <v>27495.093259807902</v>
      </c>
      <c r="L427" s="4">
        <v>0.46598636198631199</v>
      </c>
      <c r="M427" s="1">
        <v>4.62</v>
      </c>
      <c r="N427" s="1">
        <v>42.61</v>
      </c>
      <c r="O427" s="1">
        <v>27.14</v>
      </c>
      <c r="P427" s="9">
        <f>AVERAGE(L424:L427)</f>
        <v>0.38388402990033749</v>
      </c>
      <c r="Q427" s="9">
        <f>STDEV(L424:L427)</f>
        <v>5.995479549556107E-2</v>
      </c>
    </row>
    <row r="428" spans="1:17" x14ac:dyDescent="0.2">
      <c r="A428" t="s">
        <v>538</v>
      </c>
      <c r="B428">
        <v>1</v>
      </c>
      <c r="C428">
        <v>750</v>
      </c>
      <c r="D428">
        <v>910</v>
      </c>
      <c r="E428">
        <v>1</v>
      </c>
      <c r="F428" t="s">
        <v>15</v>
      </c>
      <c r="G428" t="b">
        <v>0</v>
      </c>
      <c r="H428">
        <v>1</v>
      </c>
      <c r="I428" t="b">
        <v>0</v>
      </c>
      <c r="J428">
        <v>61785.278132199201</v>
      </c>
      <c r="K428">
        <v>39699.667712250302</v>
      </c>
      <c r="L428" s="3">
        <v>0.642542510325951</v>
      </c>
      <c r="M428">
        <v>4.2699999999999996</v>
      </c>
      <c r="N428">
        <v>47.91</v>
      </c>
      <c r="O428">
        <v>41.39</v>
      </c>
    </row>
    <row r="429" spans="1:17" x14ac:dyDescent="0.2">
      <c r="A429" t="s">
        <v>539</v>
      </c>
      <c r="B429">
        <v>1</v>
      </c>
      <c r="C429">
        <v>750</v>
      </c>
      <c r="D429">
        <v>910</v>
      </c>
      <c r="E429">
        <v>1</v>
      </c>
      <c r="F429" t="s">
        <v>15</v>
      </c>
      <c r="G429" t="b">
        <v>0</v>
      </c>
      <c r="H429">
        <v>1</v>
      </c>
      <c r="I429" t="b">
        <v>0</v>
      </c>
      <c r="J429">
        <v>59487.066644892198</v>
      </c>
      <c r="K429">
        <v>39886.138121170399</v>
      </c>
      <c r="L429" s="3">
        <v>0.670501007542875</v>
      </c>
      <c r="M429">
        <v>3.77</v>
      </c>
      <c r="N429">
        <v>52.57</v>
      </c>
      <c r="O429">
        <v>47.94</v>
      </c>
    </row>
    <row r="430" spans="1:17" x14ac:dyDescent="0.2">
      <c r="A430" t="s">
        <v>540</v>
      </c>
      <c r="B430">
        <v>1</v>
      </c>
      <c r="C430">
        <v>750</v>
      </c>
      <c r="D430">
        <v>910</v>
      </c>
      <c r="E430">
        <v>1</v>
      </c>
      <c r="F430" t="s">
        <v>15</v>
      </c>
      <c r="G430" t="b">
        <v>0</v>
      </c>
      <c r="H430">
        <v>1</v>
      </c>
      <c r="I430" t="b">
        <v>0</v>
      </c>
      <c r="J430">
        <v>58575.026699505703</v>
      </c>
      <c r="K430">
        <v>33731.588375826897</v>
      </c>
      <c r="L430" s="3">
        <v>0.57586979087303702</v>
      </c>
      <c r="M430">
        <v>4.45</v>
      </c>
      <c r="N430">
        <v>43.55</v>
      </c>
      <c r="O430">
        <v>36.93</v>
      </c>
    </row>
    <row r="431" spans="1:17" x14ac:dyDescent="0.2">
      <c r="A431" s="1" t="s">
        <v>541</v>
      </c>
      <c r="B431" s="1">
        <v>1</v>
      </c>
      <c r="C431" s="1">
        <v>750</v>
      </c>
      <c r="D431" s="1">
        <v>910</v>
      </c>
      <c r="E431" s="1">
        <v>1</v>
      </c>
      <c r="F431" s="1" t="s">
        <v>15</v>
      </c>
      <c r="G431" s="1" t="b">
        <v>0</v>
      </c>
      <c r="H431" s="1">
        <v>1</v>
      </c>
      <c r="I431" s="1" t="b">
        <v>0</v>
      </c>
      <c r="J431" s="1">
        <v>56734.340695289502</v>
      </c>
      <c r="K431" s="1">
        <v>37006.671020000402</v>
      </c>
      <c r="L431" s="4">
        <v>0.65227991665148599</v>
      </c>
      <c r="M431" s="1">
        <v>4.03</v>
      </c>
      <c r="N431" s="1">
        <v>46.97</v>
      </c>
      <c r="O431" s="1">
        <v>43.63</v>
      </c>
      <c r="P431" s="9">
        <f>AVERAGE(L428:L431)</f>
        <v>0.63529830634833728</v>
      </c>
      <c r="Q431" s="9">
        <f>STDEV(L428:L431)</f>
        <v>4.1278857391919131E-2</v>
      </c>
    </row>
    <row r="432" spans="1:17" x14ac:dyDescent="0.2">
      <c r="A432" t="s">
        <v>542</v>
      </c>
      <c r="B432">
        <v>1</v>
      </c>
      <c r="C432">
        <v>750</v>
      </c>
      <c r="D432">
        <v>910</v>
      </c>
      <c r="E432">
        <v>1</v>
      </c>
      <c r="F432" t="s">
        <v>15</v>
      </c>
      <c r="G432" t="b">
        <v>0</v>
      </c>
      <c r="H432">
        <v>1</v>
      </c>
      <c r="I432" t="b">
        <v>0</v>
      </c>
      <c r="J432">
        <v>65736.335717621594</v>
      </c>
      <c r="K432">
        <v>147298.27244903101</v>
      </c>
      <c r="L432" s="3">
        <v>2.2407435833017599</v>
      </c>
      <c r="M432">
        <v>4.78</v>
      </c>
      <c r="N432">
        <v>42.67</v>
      </c>
      <c r="O432">
        <v>135.30000000000001</v>
      </c>
    </row>
    <row r="433" spans="1:17" x14ac:dyDescent="0.2">
      <c r="A433" t="s">
        <v>543</v>
      </c>
      <c r="B433">
        <v>1</v>
      </c>
      <c r="C433">
        <v>750</v>
      </c>
      <c r="D433">
        <v>910</v>
      </c>
      <c r="E433">
        <v>1</v>
      </c>
      <c r="F433" t="s">
        <v>15</v>
      </c>
      <c r="G433" t="b">
        <v>0</v>
      </c>
      <c r="H433">
        <v>1</v>
      </c>
      <c r="I433" t="b">
        <v>0</v>
      </c>
      <c r="J433">
        <v>70383.196568531697</v>
      </c>
      <c r="K433">
        <v>149777.033529715</v>
      </c>
      <c r="L433" s="3">
        <v>2.1280226081217899</v>
      </c>
      <c r="M433">
        <v>4.62</v>
      </c>
      <c r="N433">
        <v>47.27</v>
      </c>
      <c r="O433">
        <v>143.25</v>
      </c>
    </row>
    <row r="434" spans="1:17" x14ac:dyDescent="0.2">
      <c r="A434" t="s">
        <v>544</v>
      </c>
      <c r="B434">
        <v>1</v>
      </c>
      <c r="C434">
        <v>750</v>
      </c>
      <c r="D434">
        <v>910</v>
      </c>
      <c r="E434">
        <v>1</v>
      </c>
      <c r="F434" t="s">
        <v>15</v>
      </c>
      <c r="G434" t="b">
        <v>0</v>
      </c>
      <c r="H434">
        <v>1</v>
      </c>
      <c r="I434" t="b">
        <v>0</v>
      </c>
      <c r="J434">
        <v>73837.235534429798</v>
      </c>
      <c r="K434">
        <v>154494.78533985</v>
      </c>
      <c r="L434" s="3">
        <v>2.0923695777831601</v>
      </c>
      <c r="M434">
        <v>4.37</v>
      </c>
      <c r="N434">
        <v>53.3</v>
      </c>
      <c r="O434">
        <v>161.29</v>
      </c>
    </row>
    <row r="435" spans="1:17" x14ac:dyDescent="0.2">
      <c r="A435" s="1" t="s">
        <v>545</v>
      </c>
      <c r="B435" s="1">
        <v>1</v>
      </c>
      <c r="C435" s="1">
        <v>750</v>
      </c>
      <c r="D435" s="1">
        <v>910</v>
      </c>
      <c r="E435" s="1">
        <v>1</v>
      </c>
      <c r="F435" s="1" t="s">
        <v>15</v>
      </c>
      <c r="G435" s="1" t="b">
        <v>0</v>
      </c>
      <c r="H435" s="1">
        <v>1</v>
      </c>
      <c r="I435" s="1" t="b">
        <v>0</v>
      </c>
      <c r="J435" s="1">
        <v>65437.534438622002</v>
      </c>
      <c r="K435" s="1">
        <v>143324.059290573</v>
      </c>
      <c r="L435" s="4">
        <v>2.1902423512763201</v>
      </c>
      <c r="M435" s="1">
        <v>4.29</v>
      </c>
      <c r="N435" s="1">
        <v>48.44</v>
      </c>
      <c r="O435" s="1">
        <v>151.08000000000001</v>
      </c>
      <c r="P435" s="9">
        <f>AVERAGE(L432:L435)</f>
        <v>2.1628445301207573</v>
      </c>
      <c r="Q435" s="9">
        <f>STDEV(L432:L435)</f>
        <v>6.5823471622356813E-2</v>
      </c>
    </row>
    <row r="436" spans="1:17" x14ac:dyDescent="0.2">
      <c r="A436" t="s">
        <v>546</v>
      </c>
      <c r="B436">
        <v>1</v>
      </c>
      <c r="C436">
        <v>750</v>
      </c>
      <c r="D436">
        <v>910</v>
      </c>
      <c r="E436">
        <v>1</v>
      </c>
      <c r="F436" t="s">
        <v>15</v>
      </c>
      <c r="G436" t="b">
        <v>0</v>
      </c>
      <c r="H436">
        <v>1</v>
      </c>
      <c r="I436" t="b">
        <v>0</v>
      </c>
      <c r="J436">
        <v>68117.645597400202</v>
      </c>
      <c r="K436">
        <v>102105.97162718201</v>
      </c>
      <c r="L436" s="3">
        <v>1.4989650733183799</v>
      </c>
      <c r="M436">
        <v>5.3</v>
      </c>
      <c r="N436">
        <v>41.34</v>
      </c>
      <c r="O436">
        <v>88.1</v>
      </c>
    </row>
    <row r="437" spans="1:17" x14ac:dyDescent="0.2">
      <c r="A437" t="s">
        <v>547</v>
      </c>
      <c r="B437">
        <v>1</v>
      </c>
      <c r="C437">
        <v>750</v>
      </c>
      <c r="D437">
        <v>910</v>
      </c>
      <c r="E437">
        <v>1</v>
      </c>
      <c r="F437" t="s">
        <v>15</v>
      </c>
      <c r="G437" t="b">
        <v>0</v>
      </c>
      <c r="H437">
        <v>1</v>
      </c>
      <c r="I437" t="b">
        <v>0</v>
      </c>
      <c r="J437">
        <v>68006.9360630312</v>
      </c>
      <c r="K437">
        <v>103013.636296308</v>
      </c>
      <c r="L437" s="3">
        <v>1.51475191002328</v>
      </c>
      <c r="M437">
        <v>5.32</v>
      </c>
      <c r="N437">
        <v>40.700000000000003</v>
      </c>
      <c r="O437">
        <v>88.14</v>
      </c>
    </row>
    <row r="438" spans="1:17" x14ac:dyDescent="0.2">
      <c r="A438" t="s">
        <v>548</v>
      </c>
      <c r="B438">
        <v>1</v>
      </c>
      <c r="C438">
        <v>750</v>
      </c>
      <c r="D438">
        <v>910</v>
      </c>
      <c r="E438">
        <v>1</v>
      </c>
      <c r="F438" t="s">
        <v>15</v>
      </c>
      <c r="G438" t="b">
        <v>0</v>
      </c>
      <c r="H438">
        <v>1</v>
      </c>
      <c r="I438" t="b">
        <v>0</v>
      </c>
      <c r="J438">
        <v>67308.058793297605</v>
      </c>
      <c r="K438">
        <v>106980.551618785</v>
      </c>
      <c r="L438" s="3">
        <v>1.5894166840752599</v>
      </c>
      <c r="M438">
        <v>5.17</v>
      </c>
      <c r="N438">
        <v>41.74</v>
      </c>
      <c r="O438">
        <v>95.85</v>
      </c>
    </row>
    <row r="439" spans="1:17" x14ac:dyDescent="0.2">
      <c r="A439" s="1" t="s">
        <v>549</v>
      </c>
      <c r="B439" s="1">
        <v>1</v>
      </c>
      <c r="C439" s="1">
        <v>750</v>
      </c>
      <c r="D439" s="1">
        <v>910</v>
      </c>
      <c r="E439" s="1">
        <v>1</v>
      </c>
      <c r="F439" s="1" t="s">
        <v>15</v>
      </c>
      <c r="G439" s="1" t="b">
        <v>0</v>
      </c>
      <c r="H439" s="1">
        <v>1</v>
      </c>
      <c r="I439" s="1" t="b">
        <v>0</v>
      </c>
      <c r="J439" s="1">
        <v>67373.389864666606</v>
      </c>
      <c r="K439" s="1">
        <v>107648.909639522</v>
      </c>
      <c r="L439" s="4">
        <v>1.5977956557590101</v>
      </c>
      <c r="M439" s="1">
        <v>5.01</v>
      </c>
      <c r="N439" s="1">
        <v>42.37</v>
      </c>
      <c r="O439" s="1">
        <v>96.46</v>
      </c>
      <c r="P439" s="9">
        <f>AVERAGE(L436:L439)</f>
        <v>1.5502323307939825</v>
      </c>
      <c r="Q439" s="9">
        <f>STDEV(L436:L439)</f>
        <v>5.0612499677901032E-2</v>
      </c>
    </row>
    <row r="440" spans="1:17" x14ac:dyDescent="0.2">
      <c r="A440" t="s">
        <v>550</v>
      </c>
      <c r="B440">
        <v>1</v>
      </c>
      <c r="C440">
        <v>750</v>
      </c>
      <c r="D440">
        <v>910</v>
      </c>
      <c r="E440">
        <v>1</v>
      </c>
      <c r="F440" t="s">
        <v>15</v>
      </c>
      <c r="G440" t="b">
        <v>0</v>
      </c>
      <c r="H440">
        <v>1</v>
      </c>
      <c r="I440" t="b">
        <v>0</v>
      </c>
      <c r="J440">
        <v>56657.818899913997</v>
      </c>
      <c r="K440">
        <v>108092.876856291</v>
      </c>
      <c r="L440" s="3">
        <v>1.9078192375748999</v>
      </c>
      <c r="M440">
        <v>6.34</v>
      </c>
      <c r="N440">
        <v>28.5</v>
      </c>
      <c r="O440">
        <v>78.31</v>
      </c>
    </row>
    <row r="441" spans="1:17" x14ac:dyDescent="0.2">
      <c r="A441" t="s">
        <v>551</v>
      </c>
      <c r="B441">
        <v>1</v>
      </c>
      <c r="C441">
        <v>750</v>
      </c>
      <c r="D441">
        <v>910</v>
      </c>
      <c r="E441">
        <v>1</v>
      </c>
      <c r="F441" t="s">
        <v>15</v>
      </c>
      <c r="G441" t="b">
        <v>0</v>
      </c>
      <c r="H441">
        <v>1</v>
      </c>
      <c r="I441" t="b">
        <v>0</v>
      </c>
      <c r="J441">
        <v>64216.841947216199</v>
      </c>
      <c r="K441">
        <v>115594.552413464</v>
      </c>
      <c r="L441" s="3">
        <v>1.80006597815069</v>
      </c>
      <c r="M441">
        <v>6.56</v>
      </c>
      <c r="N441">
        <v>31.13</v>
      </c>
      <c r="O441">
        <v>81.8</v>
      </c>
    </row>
    <row r="442" spans="1:17" x14ac:dyDescent="0.2">
      <c r="A442" t="s">
        <v>552</v>
      </c>
      <c r="B442">
        <v>1</v>
      </c>
      <c r="C442">
        <v>750</v>
      </c>
      <c r="D442">
        <v>910</v>
      </c>
      <c r="E442">
        <v>1</v>
      </c>
      <c r="F442" t="s">
        <v>15</v>
      </c>
      <c r="G442" t="b">
        <v>0</v>
      </c>
      <c r="H442">
        <v>1</v>
      </c>
      <c r="I442" t="b">
        <v>0</v>
      </c>
      <c r="J442">
        <v>68324.980443465902</v>
      </c>
      <c r="K442">
        <v>125182.94889909201</v>
      </c>
      <c r="L442" s="3">
        <v>1.83216955331107</v>
      </c>
      <c r="M442">
        <v>6.39</v>
      </c>
      <c r="N442">
        <v>33.53</v>
      </c>
      <c r="O442">
        <v>89.13</v>
      </c>
    </row>
    <row r="443" spans="1:17" x14ac:dyDescent="0.2">
      <c r="A443" s="1" t="s">
        <v>553</v>
      </c>
      <c r="B443" s="1">
        <v>1</v>
      </c>
      <c r="C443" s="1">
        <v>750</v>
      </c>
      <c r="D443" s="1">
        <v>910</v>
      </c>
      <c r="E443" s="1">
        <v>1</v>
      </c>
      <c r="F443" s="1" t="s">
        <v>15</v>
      </c>
      <c r="G443" s="1" t="b">
        <v>0</v>
      </c>
      <c r="H443" s="1">
        <v>1</v>
      </c>
      <c r="I443" s="1" t="b">
        <v>0</v>
      </c>
      <c r="J443" s="1">
        <v>58173.8358572902</v>
      </c>
      <c r="K443" s="1">
        <v>111872.303915264</v>
      </c>
      <c r="L443" s="4">
        <v>1.9230690613165899</v>
      </c>
      <c r="M443" s="1">
        <v>5.64</v>
      </c>
      <c r="N443" s="1">
        <v>32.590000000000003</v>
      </c>
      <c r="O443" s="1">
        <v>90.65</v>
      </c>
      <c r="P443" s="9">
        <f>AVERAGE(L440:L443)</f>
        <v>1.8657809575883124</v>
      </c>
      <c r="Q443" s="9">
        <f>STDEV(L440:L443)</f>
        <v>5.9153272191789952E-2</v>
      </c>
    </row>
    <row r="444" spans="1:17" x14ac:dyDescent="0.2">
      <c r="A444" t="s">
        <v>554</v>
      </c>
      <c r="B444">
        <v>1</v>
      </c>
      <c r="C444">
        <v>750</v>
      </c>
      <c r="D444">
        <v>910</v>
      </c>
      <c r="E444">
        <v>1</v>
      </c>
      <c r="F444" t="s">
        <v>15</v>
      </c>
      <c r="G444" t="b">
        <v>0</v>
      </c>
      <c r="H444">
        <v>1</v>
      </c>
      <c r="I444" t="b">
        <v>0</v>
      </c>
      <c r="J444">
        <v>53200.462114282796</v>
      </c>
      <c r="K444">
        <v>62618.228266311198</v>
      </c>
      <c r="L444" s="3">
        <v>1.17702414185421</v>
      </c>
      <c r="M444">
        <v>4.84</v>
      </c>
      <c r="N444">
        <v>35.58</v>
      </c>
      <c r="O444">
        <v>59.57</v>
      </c>
    </row>
    <row r="445" spans="1:17" x14ac:dyDescent="0.2">
      <c r="A445" t="s">
        <v>555</v>
      </c>
      <c r="B445">
        <v>1</v>
      </c>
      <c r="C445">
        <v>750</v>
      </c>
      <c r="D445">
        <v>910</v>
      </c>
      <c r="E445">
        <v>1</v>
      </c>
      <c r="F445" t="s">
        <v>15</v>
      </c>
      <c r="G445" t="b">
        <v>0</v>
      </c>
      <c r="H445">
        <v>1</v>
      </c>
      <c r="I445" t="b">
        <v>0</v>
      </c>
      <c r="J445">
        <v>67055.111409672303</v>
      </c>
      <c r="K445">
        <v>72085.078233318505</v>
      </c>
      <c r="L445" s="3">
        <v>1.07501242959564</v>
      </c>
      <c r="M445">
        <v>5.4</v>
      </c>
      <c r="N445">
        <v>40.17</v>
      </c>
      <c r="O445">
        <v>62.58</v>
      </c>
    </row>
    <row r="446" spans="1:17" x14ac:dyDescent="0.2">
      <c r="A446" t="s">
        <v>556</v>
      </c>
      <c r="B446">
        <v>1</v>
      </c>
      <c r="C446">
        <v>750</v>
      </c>
      <c r="D446">
        <v>910</v>
      </c>
      <c r="E446">
        <v>1</v>
      </c>
      <c r="F446" t="s">
        <v>15</v>
      </c>
      <c r="G446" t="b">
        <v>0</v>
      </c>
      <c r="H446">
        <v>1</v>
      </c>
      <c r="I446" t="b">
        <v>0</v>
      </c>
      <c r="J446">
        <v>32321.510376209899</v>
      </c>
      <c r="K446">
        <v>34578.3194464841</v>
      </c>
      <c r="L446" s="3">
        <v>1.0698237503138199</v>
      </c>
      <c r="M446">
        <v>3.66</v>
      </c>
      <c r="N446">
        <v>28.59</v>
      </c>
      <c r="O446">
        <v>44.01</v>
      </c>
    </row>
    <row r="447" spans="1:17" x14ac:dyDescent="0.2">
      <c r="A447" s="1" t="s">
        <v>557</v>
      </c>
      <c r="B447" s="1">
        <v>1</v>
      </c>
      <c r="C447" s="1">
        <v>750</v>
      </c>
      <c r="D447" s="1">
        <v>910</v>
      </c>
      <c r="E447" s="1">
        <v>1</v>
      </c>
      <c r="F447" s="1" t="s">
        <v>15</v>
      </c>
      <c r="G447" s="1" t="b">
        <v>0</v>
      </c>
      <c r="H447" s="1">
        <v>1</v>
      </c>
      <c r="I447" s="1" t="b">
        <v>0</v>
      </c>
      <c r="J447" s="1">
        <v>68226.396955148201</v>
      </c>
      <c r="K447" s="1">
        <v>73486.303525929994</v>
      </c>
      <c r="L447" s="4">
        <v>1.0770948900355899</v>
      </c>
      <c r="M447" s="1">
        <v>5.43</v>
      </c>
      <c r="N447" s="1">
        <v>40.15</v>
      </c>
      <c r="O447" s="1">
        <v>62.91</v>
      </c>
      <c r="P447" s="9">
        <f>AVERAGE(L444:L447)</f>
        <v>1.099738802949815</v>
      </c>
      <c r="Q447" s="9">
        <f>STDEV(L444:L447)</f>
        <v>5.1614191572662817E-2</v>
      </c>
    </row>
    <row r="448" spans="1:17" x14ac:dyDescent="0.2">
      <c r="A448" t="s">
        <v>558</v>
      </c>
      <c r="B448">
        <v>1</v>
      </c>
      <c r="C448">
        <v>750</v>
      </c>
      <c r="D448">
        <v>910</v>
      </c>
      <c r="E448">
        <v>1</v>
      </c>
      <c r="F448" t="s">
        <v>15</v>
      </c>
      <c r="G448" t="b">
        <v>0</v>
      </c>
      <c r="H448">
        <v>1</v>
      </c>
      <c r="I448" t="b">
        <v>0</v>
      </c>
      <c r="J448">
        <v>53290.417866974603</v>
      </c>
      <c r="K448">
        <v>271093.722828748</v>
      </c>
      <c r="L448" s="3">
        <v>5.08710071490641</v>
      </c>
      <c r="M448">
        <v>4.99</v>
      </c>
      <c r="N448">
        <v>34.04</v>
      </c>
      <c r="O448">
        <v>242.58</v>
      </c>
    </row>
    <row r="449" spans="1:17" x14ac:dyDescent="0.2">
      <c r="A449" t="s">
        <v>559</v>
      </c>
      <c r="B449">
        <v>1</v>
      </c>
      <c r="C449">
        <v>750</v>
      </c>
      <c r="D449">
        <v>910</v>
      </c>
      <c r="E449">
        <v>1</v>
      </c>
      <c r="F449" t="s">
        <v>15</v>
      </c>
      <c r="G449" t="b">
        <v>0</v>
      </c>
      <c r="H449">
        <v>1</v>
      </c>
      <c r="I449" t="b">
        <v>0</v>
      </c>
      <c r="J449">
        <v>63625.266250244902</v>
      </c>
      <c r="K449">
        <v>300427.847263676</v>
      </c>
      <c r="L449" s="3">
        <v>4.7218324569686203</v>
      </c>
      <c r="M449">
        <v>5</v>
      </c>
      <c r="N449">
        <v>37.840000000000003</v>
      </c>
      <c r="O449">
        <v>260.89999999999998</v>
      </c>
    </row>
    <row r="450" spans="1:17" x14ac:dyDescent="0.2">
      <c r="A450" t="s">
        <v>560</v>
      </c>
      <c r="B450">
        <v>1</v>
      </c>
      <c r="C450">
        <v>750</v>
      </c>
      <c r="D450">
        <v>910</v>
      </c>
      <c r="E450">
        <v>1</v>
      </c>
      <c r="F450" t="s">
        <v>15</v>
      </c>
      <c r="G450" t="b">
        <v>0</v>
      </c>
      <c r="H450">
        <v>1</v>
      </c>
      <c r="I450" t="b">
        <v>0</v>
      </c>
      <c r="J450">
        <v>67456.895723584501</v>
      </c>
      <c r="K450">
        <v>313559.67775925098</v>
      </c>
      <c r="L450" s="3">
        <v>4.6482968775217897</v>
      </c>
      <c r="M450">
        <v>4.82</v>
      </c>
      <c r="N450">
        <v>41.27</v>
      </c>
      <c r="O450">
        <v>278.85000000000002</v>
      </c>
    </row>
    <row r="451" spans="1:17" x14ac:dyDescent="0.2">
      <c r="A451" s="1" t="s">
        <v>561</v>
      </c>
      <c r="B451" s="1">
        <v>1</v>
      </c>
      <c r="C451" s="1">
        <v>750</v>
      </c>
      <c r="D451" s="1">
        <v>910</v>
      </c>
      <c r="E451" s="1">
        <v>1</v>
      </c>
      <c r="F451" s="1" t="s">
        <v>15</v>
      </c>
      <c r="G451" s="1" t="b">
        <v>0</v>
      </c>
      <c r="H451" s="1">
        <v>1</v>
      </c>
      <c r="I451" s="1" t="b">
        <v>0</v>
      </c>
      <c r="J451" s="1">
        <v>65938.326962770705</v>
      </c>
      <c r="K451" s="1">
        <v>308733.49273913098</v>
      </c>
      <c r="L451" s="4">
        <v>4.6821553860995602</v>
      </c>
      <c r="M451" s="1">
        <v>4.58</v>
      </c>
      <c r="N451" s="1">
        <v>42.05</v>
      </c>
      <c r="O451" s="1">
        <v>289.01</v>
      </c>
      <c r="P451" s="9">
        <f>AVERAGE(L448:L451)</f>
        <v>4.7848463588740948</v>
      </c>
      <c r="Q451" s="9">
        <f>STDEV(L448:L451)</f>
        <v>0.20373155893710237</v>
      </c>
    </row>
    <row r="452" spans="1:17" x14ac:dyDescent="0.2">
      <c r="A452" t="s">
        <v>562</v>
      </c>
      <c r="B452">
        <v>1</v>
      </c>
      <c r="C452">
        <v>750</v>
      </c>
      <c r="D452">
        <v>910</v>
      </c>
      <c r="E452">
        <v>1</v>
      </c>
      <c r="F452" t="s">
        <v>15</v>
      </c>
      <c r="G452" t="b">
        <v>0</v>
      </c>
      <c r="H452">
        <v>1</v>
      </c>
      <c r="I452" t="b">
        <v>0</v>
      </c>
      <c r="J452">
        <v>55550.284523126298</v>
      </c>
      <c r="K452">
        <v>246468.89325263799</v>
      </c>
      <c r="L452" s="3">
        <v>4.4368610416393004</v>
      </c>
      <c r="M452">
        <v>4.3099999999999996</v>
      </c>
      <c r="N452">
        <v>38.46</v>
      </c>
      <c r="O452">
        <v>247.72</v>
      </c>
    </row>
    <row r="453" spans="1:17" x14ac:dyDescent="0.2">
      <c r="A453" t="s">
        <v>563</v>
      </c>
      <c r="B453">
        <v>1</v>
      </c>
      <c r="C453">
        <v>750</v>
      </c>
      <c r="D453">
        <v>910</v>
      </c>
      <c r="E453">
        <v>1</v>
      </c>
      <c r="F453" t="s">
        <v>15</v>
      </c>
      <c r="G453" t="b">
        <v>0</v>
      </c>
      <c r="H453">
        <v>1</v>
      </c>
      <c r="I453" t="b">
        <v>0</v>
      </c>
      <c r="J453">
        <v>63225.812162011898</v>
      </c>
      <c r="K453">
        <v>275347.00047887501</v>
      </c>
      <c r="L453" s="3">
        <v>4.3549776754676897</v>
      </c>
      <c r="M453">
        <v>4.84</v>
      </c>
      <c r="N453">
        <v>39.42</v>
      </c>
      <c r="O453">
        <v>245.77</v>
      </c>
    </row>
    <row r="454" spans="1:17" x14ac:dyDescent="0.2">
      <c r="A454" t="s">
        <v>564</v>
      </c>
      <c r="B454">
        <v>1</v>
      </c>
      <c r="C454">
        <v>750</v>
      </c>
      <c r="D454">
        <v>910</v>
      </c>
      <c r="E454">
        <v>1</v>
      </c>
      <c r="F454" t="s">
        <v>15</v>
      </c>
      <c r="G454" t="b">
        <v>0</v>
      </c>
      <c r="H454">
        <v>1</v>
      </c>
      <c r="I454" t="b">
        <v>0</v>
      </c>
      <c r="J454">
        <v>64002.062298569901</v>
      </c>
      <c r="K454">
        <v>277048.98987443402</v>
      </c>
      <c r="L454" s="3">
        <v>4.3287509796481203</v>
      </c>
      <c r="M454">
        <v>4.83</v>
      </c>
      <c r="N454">
        <v>40</v>
      </c>
      <c r="O454">
        <v>246.77</v>
      </c>
    </row>
    <row r="455" spans="1:17" x14ac:dyDescent="0.2">
      <c r="A455" s="1" t="s">
        <v>565</v>
      </c>
      <c r="B455" s="1">
        <v>1</v>
      </c>
      <c r="C455" s="1">
        <v>750</v>
      </c>
      <c r="D455" s="1">
        <v>910</v>
      </c>
      <c r="E455" s="1">
        <v>1</v>
      </c>
      <c r="F455" s="1" t="s">
        <v>15</v>
      </c>
      <c r="G455" s="1" t="b">
        <v>0</v>
      </c>
      <c r="H455" s="1">
        <v>1</v>
      </c>
      <c r="I455" s="1" t="b">
        <v>0</v>
      </c>
      <c r="J455" s="1">
        <v>65647.346206605405</v>
      </c>
      <c r="K455" s="1">
        <v>283924.23838480102</v>
      </c>
      <c r="L455" s="4">
        <v>4.3249918662551003</v>
      </c>
      <c r="M455" s="1">
        <v>4.4000000000000004</v>
      </c>
      <c r="N455" s="1">
        <v>44.57</v>
      </c>
      <c r="O455" s="1">
        <v>276.60000000000002</v>
      </c>
      <c r="P455" s="9">
        <f>AVERAGE(L452:L455)</f>
        <v>4.3613953907525529</v>
      </c>
      <c r="Q455" s="9">
        <f>STDEV(L452:L455)</f>
        <v>5.2048457247164885E-2</v>
      </c>
    </row>
    <row r="456" spans="1:17" x14ac:dyDescent="0.2">
      <c r="A456" t="s">
        <v>566</v>
      </c>
      <c r="B456">
        <v>1</v>
      </c>
      <c r="C456">
        <v>750</v>
      </c>
      <c r="D456">
        <v>910</v>
      </c>
      <c r="E456">
        <v>1</v>
      </c>
      <c r="F456" t="s">
        <v>15</v>
      </c>
      <c r="G456" t="b">
        <v>0</v>
      </c>
      <c r="H456">
        <v>1</v>
      </c>
      <c r="I456" t="b">
        <v>0</v>
      </c>
      <c r="J456">
        <v>67896.013531565797</v>
      </c>
      <c r="K456">
        <v>271309.48032630602</v>
      </c>
      <c r="L456" s="3">
        <v>3.9959559658119002</v>
      </c>
      <c r="M456">
        <v>4.71</v>
      </c>
      <c r="N456">
        <v>42.84</v>
      </c>
      <c r="O456">
        <v>250.62</v>
      </c>
    </row>
    <row r="457" spans="1:17" x14ac:dyDescent="0.2">
      <c r="A457" t="s">
        <v>567</v>
      </c>
      <c r="B457">
        <v>1</v>
      </c>
      <c r="C457">
        <v>750</v>
      </c>
      <c r="D457">
        <v>910</v>
      </c>
      <c r="E457">
        <v>1</v>
      </c>
      <c r="F457" t="s">
        <v>15</v>
      </c>
      <c r="G457" t="b">
        <v>0</v>
      </c>
      <c r="H457">
        <v>1</v>
      </c>
      <c r="I457" t="b">
        <v>0</v>
      </c>
      <c r="J457">
        <v>67187.950949186605</v>
      </c>
      <c r="K457">
        <v>270912.04688183399</v>
      </c>
      <c r="L457" s="3">
        <v>4.0321522394204399</v>
      </c>
      <c r="M457">
        <v>4.71</v>
      </c>
      <c r="N457">
        <v>42.99</v>
      </c>
      <c r="O457">
        <v>249.56</v>
      </c>
    </row>
    <row r="458" spans="1:17" x14ac:dyDescent="0.2">
      <c r="A458" t="s">
        <v>568</v>
      </c>
      <c r="B458">
        <v>1</v>
      </c>
      <c r="C458">
        <v>750</v>
      </c>
      <c r="D458">
        <v>910</v>
      </c>
      <c r="E458">
        <v>1</v>
      </c>
      <c r="F458" t="s">
        <v>15</v>
      </c>
      <c r="G458" t="b">
        <v>0</v>
      </c>
      <c r="H458">
        <v>1</v>
      </c>
      <c r="I458" t="b">
        <v>0</v>
      </c>
      <c r="J458">
        <v>68268.4927835532</v>
      </c>
      <c r="K458">
        <v>269094.170772182</v>
      </c>
      <c r="L458" s="3">
        <v>3.9417037025462198</v>
      </c>
      <c r="M458">
        <v>5.19</v>
      </c>
      <c r="N458">
        <v>38.380000000000003</v>
      </c>
      <c r="O458">
        <v>230.12</v>
      </c>
    </row>
    <row r="459" spans="1:17" x14ac:dyDescent="0.2">
      <c r="A459" s="1" t="s">
        <v>569</v>
      </c>
      <c r="B459" s="1">
        <v>1</v>
      </c>
      <c r="C459" s="1">
        <v>750</v>
      </c>
      <c r="D459" s="1">
        <v>910</v>
      </c>
      <c r="E459" s="1">
        <v>1</v>
      </c>
      <c r="F459" s="1" t="s">
        <v>15</v>
      </c>
      <c r="G459" s="1" t="b">
        <v>0</v>
      </c>
      <c r="H459" s="1">
        <v>1</v>
      </c>
      <c r="I459" s="1" t="b">
        <v>0</v>
      </c>
      <c r="J459" s="1">
        <v>69246.882023198501</v>
      </c>
      <c r="K459" s="1">
        <v>277303.35770333902</v>
      </c>
      <c r="L459" s="4">
        <v>4.0045609217529696</v>
      </c>
      <c r="M459" s="1">
        <v>6.05</v>
      </c>
      <c r="N459" s="1">
        <v>33.93</v>
      </c>
      <c r="O459" s="1">
        <v>198.61</v>
      </c>
      <c r="P459" s="9">
        <f>AVERAGE(L456:L459)</f>
        <v>3.9935932073828821</v>
      </c>
      <c r="Q459" s="9">
        <f>STDEV(L456:L459)</f>
        <v>3.7882243200762389E-2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abSelected="1" workbookViewId="0">
      <selection activeCell="A4" sqref="A4"/>
    </sheetView>
  </sheetViews>
  <sheetFormatPr baseColWidth="10" defaultColWidth="8.83203125" defaultRowHeight="19" x14ac:dyDescent="0.25"/>
  <cols>
    <col min="1" max="1" width="148.6640625" style="120" customWidth="1"/>
    <col min="2" max="256" width="9.1640625" style="120"/>
    <col min="257" max="257" width="11.33203125" style="120" bestFit="1" customWidth="1"/>
    <col min="258" max="512" width="9.1640625" style="120"/>
    <col min="513" max="513" width="11.33203125" style="120" bestFit="1" customWidth="1"/>
    <col min="514" max="768" width="9.1640625" style="120"/>
    <col min="769" max="769" width="11.33203125" style="120" bestFit="1" customWidth="1"/>
    <col min="770" max="1024" width="9.1640625" style="120"/>
    <col min="1025" max="1025" width="11.33203125" style="120" bestFit="1" customWidth="1"/>
    <col min="1026" max="1280" width="9.1640625" style="120"/>
    <col min="1281" max="1281" width="11.33203125" style="120" bestFit="1" customWidth="1"/>
    <col min="1282" max="1536" width="9.1640625" style="120"/>
    <col min="1537" max="1537" width="11.33203125" style="120" bestFit="1" customWidth="1"/>
    <col min="1538" max="1792" width="9.1640625" style="120"/>
    <col min="1793" max="1793" width="11.33203125" style="120" bestFit="1" customWidth="1"/>
    <col min="1794" max="2048" width="9.1640625" style="120"/>
    <col min="2049" max="2049" width="11.33203125" style="120" bestFit="1" customWidth="1"/>
    <col min="2050" max="2304" width="9.1640625" style="120"/>
    <col min="2305" max="2305" width="11.33203125" style="120" bestFit="1" customWidth="1"/>
    <col min="2306" max="2560" width="9.1640625" style="120"/>
    <col min="2561" max="2561" width="11.33203125" style="120" bestFit="1" customWidth="1"/>
    <col min="2562" max="2816" width="9.1640625" style="120"/>
    <col min="2817" max="2817" width="11.33203125" style="120" bestFit="1" customWidth="1"/>
    <col min="2818" max="3072" width="9.1640625" style="120"/>
    <col min="3073" max="3073" width="11.33203125" style="120" bestFit="1" customWidth="1"/>
    <col min="3074" max="3328" width="9.1640625" style="120"/>
    <col min="3329" max="3329" width="11.33203125" style="120" bestFit="1" customWidth="1"/>
    <col min="3330" max="3584" width="9.1640625" style="120"/>
    <col min="3585" max="3585" width="11.33203125" style="120" bestFit="1" customWidth="1"/>
    <col min="3586" max="3840" width="9.1640625" style="120"/>
    <col min="3841" max="3841" width="11.33203125" style="120" bestFit="1" customWidth="1"/>
    <col min="3842" max="4096" width="9.1640625" style="120"/>
    <col min="4097" max="4097" width="11.33203125" style="120" bestFit="1" customWidth="1"/>
    <col min="4098" max="4352" width="9.1640625" style="120"/>
    <col min="4353" max="4353" width="11.33203125" style="120" bestFit="1" customWidth="1"/>
    <col min="4354" max="4608" width="9.1640625" style="120"/>
    <col min="4609" max="4609" width="11.33203125" style="120" bestFit="1" customWidth="1"/>
    <col min="4610" max="4864" width="9.1640625" style="120"/>
    <col min="4865" max="4865" width="11.33203125" style="120" bestFit="1" customWidth="1"/>
    <col min="4866" max="5120" width="9.1640625" style="120"/>
    <col min="5121" max="5121" width="11.33203125" style="120" bestFit="1" customWidth="1"/>
    <col min="5122" max="5376" width="9.1640625" style="120"/>
    <col min="5377" max="5377" width="11.33203125" style="120" bestFit="1" customWidth="1"/>
    <col min="5378" max="5632" width="9.1640625" style="120"/>
    <col min="5633" max="5633" width="11.33203125" style="120" bestFit="1" customWidth="1"/>
    <col min="5634" max="5888" width="9.1640625" style="120"/>
    <col min="5889" max="5889" width="11.33203125" style="120" bestFit="1" customWidth="1"/>
    <col min="5890" max="6144" width="9.1640625" style="120"/>
    <col min="6145" max="6145" width="11.33203125" style="120" bestFit="1" customWidth="1"/>
    <col min="6146" max="6400" width="9.1640625" style="120"/>
    <col min="6401" max="6401" width="11.33203125" style="120" bestFit="1" customWidth="1"/>
    <col min="6402" max="6656" width="9.1640625" style="120"/>
    <col min="6657" max="6657" width="11.33203125" style="120" bestFit="1" customWidth="1"/>
    <col min="6658" max="6912" width="9.1640625" style="120"/>
    <col min="6913" max="6913" width="11.33203125" style="120" bestFit="1" customWidth="1"/>
    <col min="6914" max="7168" width="9.1640625" style="120"/>
    <col min="7169" max="7169" width="11.33203125" style="120" bestFit="1" customWidth="1"/>
    <col min="7170" max="7424" width="9.1640625" style="120"/>
    <col min="7425" max="7425" width="11.33203125" style="120" bestFit="1" customWidth="1"/>
    <col min="7426" max="7680" width="9.1640625" style="120"/>
    <col min="7681" max="7681" width="11.33203125" style="120" bestFit="1" customWidth="1"/>
    <col min="7682" max="7936" width="9.1640625" style="120"/>
    <col min="7937" max="7937" width="11.33203125" style="120" bestFit="1" customWidth="1"/>
    <col min="7938" max="8192" width="9.1640625" style="120"/>
    <col min="8193" max="8193" width="11.33203125" style="120" bestFit="1" customWidth="1"/>
    <col min="8194" max="8448" width="9.1640625" style="120"/>
    <col min="8449" max="8449" width="11.33203125" style="120" bestFit="1" customWidth="1"/>
    <col min="8450" max="8704" width="9.1640625" style="120"/>
    <col min="8705" max="8705" width="11.33203125" style="120" bestFit="1" customWidth="1"/>
    <col min="8706" max="8960" width="9.1640625" style="120"/>
    <col min="8961" max="8961" width="11.33203125" style="120" bestFit="1" customWidth="1"/>
    <col min="8962" max="9216" width="9.1640625" style="120"/>
    <col min="9217" max="9217" width="11.33203125" style="120" bestFit="1" customWidth="1"/>
    <col min="9218" max="9472" width="9.1640625" style="120"/>
    <col min="9473" max="9473" width="11.33203125" style="120" bestFit="1" customWidth="1"/>
    <col min="9474" max="9728" width="9.1640625" style="120"/>
    <col min="9729" max="9729" width="11.33203125" style="120" bestFit="1" customWidth="1"/>
    <col min="9730" max="9984" width="9.1640625" style="120"/>
    <col min="9985" max="9985" width="11.33203125" style="120" bestFit="1" customWidth="1"/>
    <col min="9986" max="10240" width="9.1640625" style="120"/>
    <col min="10241" max="10241" width="11.33203125" style="120" bestFit="1" customWidth="1"/>
    <col min="10242" max="10496" width="9.1640625" style="120"/>
    <col min="10497" max="10497" width="11.33203125" style="120" bestFit="1" customWidth="1"/>
    <col min="10498" max="10752" width="9.1640625" style="120"/>
    <col min="10753" max="10753" width="11.33203125" style="120" bestFit="1" customWidth="1"/>
    <col min="10754" max="11008" width="9.1640625" style="120"/>
    <col min="11009" max="11009" width="11.33203125" style="120" bestFit="1" customWidth="1"/>
    <col min="11010" max="11264" width="9.1640625" style="120"/>
    <col min="11265" max="11265" width="11.33203125" style="120" bestFit="1" customWidth="1"/>
    <col min="11266" max="11520" width="9.1640625" style="120"/>
    <col min="11521" max="11521" width="11.33203125" style="120" bestFit="1" customWidth="1"/>
    <col min="11522" max="11776" width="9.1640625" style="120"/>
    <col min="11777" max="11777" width="11.33203125" style="120" bestFit="1" customWidth="1"/>
    <col min="11778" max="12032" width="9.1640625" style="120"/>
    <col min="12033" max="12033" width="11.33203125" style="120" bestFit="1" customWidth="1"/>
    <col min="12034" max="12288" width="9.1640625" style="120"/>
    <col min="12289" max="12289" width="11.33203125" style="120" bestFit="1" customWidth="1"/>
    <col min="12290" max="12544" width="9.1640625" style="120"/>
    <col min="12545" max="12545" width="11.33203125" style="120" bestFit="1" customWidth="1"/>
    <col min="12546" max="12800" width="9.1640625" style="120"/>
    <col min="12801" max="12801" width="11.33203125" style="120" bestFit="1" customWidth="1"/>
    <col min="12802" max="13056" width="9.1640625" style="120"/>
    <col min="13057" max="13057" width="11.33203125" style="120" bestFit="1" customWidth="1"/>
    <col min="13058" max="13312" width="9.1640625" style="120"/>
    <col min="13313" max="13313" width="11.33203125" style="120" bestFit="1" customWidth="1"/>
    <col min="13314" max="13568" width="9.1640625" style="120"/>
    <col min="13569" max="13569" width="11.33203125" style="120" bestFit="1" customWidth="1"/>
    <col min="13570" max="13824" width="9.1640625" style="120"/>
    <col min="13825" max="13825" width="11.33203125" style="120" bestFit="1" customWidth="1"/>
    <col min="13826" max="14080" width="9.1640625" style="120"/>
    <col min="14081" max="14081" width="11.33203125" style="120" bestFit="1" customWidth="1"/>
    <col min="14082" max="14336" width="9.1640625" style="120"/>
    <col min="14337" max="14337" width="11.33203125" style="120" bestFit="1" customWidth="1"/>
    <col min="14338" max="14592" width="9.1640625" style="120"/>
    <col min="14593" max="14593" width="11.33203125" style="120" bestFit="1" customWidth="1"/>
    <col min="14594" max="14848" width="9.1640625" style="120"/>
    <col min="14849" max="14849" width="11.33203125" style="120" bestFit="1" customWidth="1"/>
    <col min="14850" max="15104" width="9.1640625" style="120"/>
    <col min="15105" max="15105" width="11.33203125" style="120" bestFit="1" customWidth="1"/>
    <col min="15106" max="15360" width="9.1640625" style="120"/>
    <col min="15361" max="15361" width="11.33203125" style="120" bestFit="1" customWidth="1"/>
    <col min="15362" max="15616" width="9.1640625" style="120"/>
    <col min="15617" max="15617" width="11.33203125" style="120" bestFit="1" customWidth="1"/>
    <col min="15618" max="15872" width="9.1640625" style="120"/>
    <col min="15873" max="15873" width="11.33203125" style="120" bestFit="1" customWidth="1"/>
    <col min="15874" max="16128" width="9.1640625" style="120"/>
    <col min="16129" max="16129" width="11.33203125" style="120" bestFit="1" customWidth="1"/>
    <col min="16130" max="16384" width="9.1640625" style="120"/>
  </cols>
  <sheetData>
    <row r="1" spans="1:1" ht="260" customHeight="1" x14ac:dyDescent="0.25">
      <c r="A1" s="119" t="s">
        <v>732</v>
      </c>
    </row>
    <row r="2" spans="1:1" x14ac:dyDescent="0.25">
      <c r="A2" s="121"/>
    </row>
    <row r="3" spans="1:1" ht="66" x14ac:dyDescent="0.25">
      <c r="A3" s="152" t="s">
        <v>731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U124"/>
  <sheetViews>
    <sheetView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DI5" sqref="DI5"/>
    </sheetView>
  </sheetViews>
  <sheetFormatPr baseColWidth="10" defaultColWidth="8.83203125" defaultRowHeight="14" x14ac:dyDescent="0.15"/>
  <cols>
    <col min="1" max="1" width="22.5" style="67" bestFit="1" customWidth="1"/>
    <col min="2" max="2" width="9.5" style="70" customWidth="1"/>
    <col min="3" max="3" width="6.6640625" style="70" customWidth="1"/>
    <col min="4" max="4" width="8.5" style="63" customWidth="1"/>
    <col min="5" max="5" width="15.33203125" style="70" customWidth="1"/>
    <col min="6" max="6" width="7.33203125" style="63" bestFit="1" customWidth="1"/>
    <col min="7" max="7" width="6.1640625" style="70" customWidth="1"/>
    <col min="8" max="8" width="7" style="70" customWidth="1"/>
    <col min="9" max="9" width="8.83203125" style="63" customWidth="1"/>
    <col min="10" max="10" width="6.6640625" style="70" customWidth="1"/>
    <col min="11" max="11" width="8.33203125" style="70" customWidth="1"/>
    <col min="12" max="12" width="7.5" style="70" customWidth="1"/>
    <col min="13" max="13" width="10.1640625" style="70" bestFit="1" customWidth="1"/>
    <col min="14" max="14" width="10.6640625" style="63" bestFit="1" customWidth="1"/>
    <col min="15" max="15" width="8.83203125" style="75"/>
    <col min="16" max="26" width="8.83203125" style="70"/>
    <col min="27" max="27" width="14.33203125" style="70" bestFit="1" customWidth="1"/>
    <col min="28" max="28" width="15.33203125" style="53" hidden="1" customWidth="1"/>
    <col min="29" max="29" width="12.5" style="54" hidden="1" customWidth="1"/>
    <col min="30" max="31" width="19" style="54" hidden="1" customWidth="1"/>
    <col min="32" max="32" width="6.1640625" style="54" hidden="1" customWidth="1"/>
    <col min="33" max="33" width="5.5" style="54" hidden="1" customWidth="1"/>
    <col min="34" max="34" width="6.6640625" style="54" hidden="1" customWidth="1"/>
    <col min="35" max="35" width="6.1640625" style="54" hidden="1" customWidth="1"/>
    <col min="36" max="36" width="5.5" style="54" hidden="1" customWidth="1"/>
    <col min="37" max="38" width="6.1640625" style="54" hidden="1" customWidth="1"/>
    <col min="39" max="39" width="6.5" style="54" hidden="1" customWidth="1"/>
    <col min="40" max="40" width="5.33203125" style="54" hidden="1" customWidth="1"/>
    <col min="41" max="41" width="6.5" style="54" hidden="1" customWidth="1"/>
    <col min="42" max="42" width="6.1640625" style="54" hidden="1" customWidth="1"/>
    <col min="43" max="43" width="19" style="54" hidden="1" customWidth="1"/>
    <col min="44" max="44" width="6.1640625" style="80" customWidth="1"/>
    <col min="45" max="45" width="5.5" style="79" customWidth="1"/>
    <col min="46" max="46" width="6.6640625" style="79" customWidth="1"/>
    <col min="47" max="47" width="7.5" style="79" customWidth="1"/>
    <col min="48" max="48" width="5.5" style="79" customWidth="1"/>
    <col min="49" max="49" width="6.1640625" style="79" customWidth="1"/>
    <col min="50" max="50" width="6.1640625" style="79" bestFit="1" customWidth="1"/>
    <col min="51" max="51" width="6.5" style="79" customWidth="1"/>
    <col min="52" max="52" width="5.33203125" style="79" customWidth="1"/>
    <col min="53" max="53" width="6.5" style="79" customWidth="1"/>
    <col min="54" max="54" width="6.1640625" style="79" customWidth="1"/>
    <col min="55" max="55" width="6.83203125" style="79" customWidth="1"/>
    <col min="56" max="56" width="5.6640625" style="79" customWidth="1"/>
    <col min="57" max="57" width="7.33203125" style="79" bestFit="1" customWidth="1"/>
    <col min="58" max="58" width="8.83203125" style="80"/>
    <col min="59" max="69" width="8.83203125" style="79"/>
    <col min="70" max="71" width="0" style="79" hidden="1" customWidth="1"/>
    <col min="72" max="72" width="8.83203125" style="80"/>
    <col min="73" max="86" width="8.83203125" style="79"/>
    <col min="87" max="87" width="0" style="79" hidden="1" customWidth="1"/>
    <col min="88" max="88" width="8.83203125" style="80"/>
    <col min="89" max="98" width="8.83203125" style="79"/>
    <col min="99" max="99" width="0" style="79" hidden="1" customWidth="1"/>
    <col min="100" max="101" width="8.83203125" style="79"/>
    <col min="102" max="102" width="3.6640625" style="111" customWidth="1"/>
    <col min="103" max="103" width="15.83203125" style="81" bestFit="1" customWidth="1"/>
    <col min="104" max="104" width="9.83203125" style="89" customWidth="1"/>
    <col min="105" max="105" width="5.5" style="79" customWidth="1"/>
    <col min="106" max="106" width="10" style="79" bestFit="1" customWidth="1"/>
    <col min="107" max="107" width="6.33203125" style="79" customWidth="1"/>
    <col min="108" max="108" width="3.6640625" style="115" customWidth="1"/>
    <col min="109" max="109" width="8.83203125" style="80"/>
    <col min="110" max="110" width="9.83203125" style="89" bestFit="1" customWidth="1"/>
    <col min="111" max="111" width="5.5" style="79" customWidth="1"/>
    <col min="112" max="112" width="10" style="79" bestFit="1" customWidth="1"/>
    <col min="113" max="113" width="6.33203125" style="79" customWidth="1"/>
    <col min="114" max="114" width="8.83203125" style="79"/>
    <col min="115" max="115" width="3.6640625" style="115" customWidth="1"/>
    <col min="116" max="116" width="9.83203125" style="81" bestFit="1" customWidth="1"/>
    <col min="117" max="117" width="5.5" style="79" customWidth="1"/>
    <col min="118" max="118" width="10" style="79" bestFit="1" customWidth="1"/>
    <col min="119" max="119" width="6.33203125" style="79" customWidth="1"/>
    <col min="120" max="120" width="3.6640625" style="115" customWidth="1"/>
    <col min="121" max="121" width="9.83203125" style="81" customWidth="1"/>
    <col min="122" max="122" width="5.5" style="79" customWidth="1"/>
    <col min="123" max="123" width="10" style="79" bestFit="1" customWidth="1"/>
    <col min="124" max="124" width="7.33203125" style="79" customWidth="1"/>
    <col min="125" max="125" width="8.83203125" style="53"/>
    <col min="126" max="16384" width="8.83203125" style="54"/>
  </cols>
  <sheetData>
    <row r="1" spans="1:124" ht="18" x14ac:dyDescent="0.2">
      <c r="A1" s="141" t="s">
        <v>685</v>
      </c>
      <c r="B1" s="65" t="s">
        <v>713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129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130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131" t="s">
        <v>714</v>
      </c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130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130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132"/>
      <c r="CG1" s="132"/>
      <c r="CH1" s="132"/>
      <c r="CI1" s="67"/>
      <c r="CJ1" s="130"/>
      <c r="CK1" s="67"/>
      <c r="CL1" s="67"/>
      <c r="CM1" s="67"/>
      <c r="CN1" s="132"/>
      <c r="CO1" s="67"/>
      <c r="CP1" s="67"/>
      <c r="CQ1" s="67"/>
      <c r="CR1" s="67"/>
      <c r="CS1" s="67"/>
      <c r="CT1" s="67"/>
      <c r="CU1" s="67"/>
      <c r="CV1" s="132"/>
      <c r="CW1" s="132"/>
      <c r="CY1" s="148" t="s">
        <v>671</v>
      </c>
      <c r="CZ1" s="149"/>
      <c r="DA1" s="149"/>
      <c r="DB1" s="149"/>
      <c r="DC1" s="150"/>
      <c r="DE1" s="148" t="s">
        <v>681</v>
      </c>
      <c r="DF1" s="149"/>
      <c r="DG1" s="149"/>
      <c r="DH1" s="149"/>
      <c r="DI1" s="149"/>
      <c r="DJ1" s="150"/>
      <c r="DL1" s="148" t="s">
        <v>642</v>
      </c>
      <c r="DM1" s="149"/>
      <c r="DN1" s="149"/>
      <c r="DO1" s="150"/>
      <c r="DQ1" s="148" t="s">
        <v>656</v>
      </c>
      <c r="DR1" s="149"/>
      <c r="DS1" s="149"/>
      <c r="DT1" s="150"/>
    </row>
    <row r="2" spans="1:124" ht="17" x14ac:dyDescent="0.25">
      <c r="B2" s="133" t="s">
        <v>712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134" t="s">
        <v>717</v>
      </c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135" t="s">
        <v>415</v>
      </c>
      <c r="AB2" s="130"/>
      <c r="AC2" s="67"/>
      <c r="AD2" s="67"/>
      <c r="AE2" s="67"/>
      <c r="AF2" s="67" t="s">
        <v>451</v>
      </c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136" t="s">
        <v>715</v>
      </c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136" t="s">
        <v>716</v>
      </c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136" t="s">
        <v>707</v>
      </c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7"/>
      <c r="CG2" s="138"/>
      <c r="CH2" s="138"/>
      <c r="CI2" s="132"/>
      <c r="CJ2" s="136" t="s">
        <v>710</v>
      </c>
      <c r="CK2" s="132"/>
      <c r="CL2" s="132"/>
      <c r="CM2" s="132"/>
      <c r="CN2" s="132"/>
      <c r="CO2" s="67"/>
      <c r="CP2" s="132"/>
      <c r="CQ2" s="132"/>
      <c r="CR2" s="132"/>
      <c r="CS2" s="132"/>
      <c r="CT2" s="132"/>
      <c r="CU2" s="132"/>
      <c r="CV2" s="137"/>
      <c r="CW2" s="138"/>
      <c r="CX2" s="112"/>
      <c r="CY2" s="136" t="s">
        <v>672</v>
      </c>
      <c r="CZ2" s="96">
        <v>8.6099999999999996E-3</v>
      </c>
      <c r="DA2" s="142" t="s">
        <v>673</v>
      </c>
      <c r="DB2" s="96">
        <v>-3.6700000000000001E-3</v>
      </c>
      <c r="DC2" s="142"/>
      <c r="DD2" s="116"/>
      <c r="DE2" s="147" t="s">
        <v>680</v>
      </c>
      <c r="DF2" s="96">
        <v>-8.6099999999999996E-3</v>
      </c>
      <c r="DG2" s="146" t="s">
        <v>682</v>
      </c>
      <c r="DH2" s="96">
        <v>0.88239000000000001</v>
      </c>
      <c r="DI2" s="146" t="s">
        <v>683</v>
      </c>
      <c r="DJ2" s="96">
        <v>-0.39401999999999998</v>
      </c>
      <c r="DK2" s="116"/>
      <c r="DL2" s="95" t="s">
        <v>674</v>
      </c>
      <c r="DM2" s="102"/>
      <c r="DN2" s="102"/>
      <c r="DO2" s="67"/>
      <c r="DP2" s="116"/>
      <c r="DQ2" s="95" t="s">
        <v>684</v>
      </c>
      <c r="DR2" s="102"/>
      <c r="DS2" s="102"/>
      <c r="DT2" s="67"/>
    </row>
    <row r="3" spans="1:124" ht="18" x14ac:dyDescent="0.25">
      <c r="A3" s="67" t="s">
        <v>687</v>
      </c>
      <c r="B3" s="133" t="s">
        <v>721</v>
      </c>
      <c r="C3" s="66" t="s">
        <v>691</v>
      </c>
      <c r="D3" s="66" t="s">
        <v>692</v>
      </c>
      <c r="E3" s="67" t="s">
        <v>689</v>
      </c>
      <c r="F3" s="133" t="s">
        <v>723</v>
      </c>
      <c r="G3" s="133" t="s">
        <v>722</v>
      </c>
      <c r="H3" s="66" t="s">
        <v>688</v>
      </c>
      <c r="I3" s="66" t="s">
        <v>690</v>
      </c>
      <c r="J3" s="66" t="s">
        <v>84</v>
      </c>
      <c r="K3" s="66" t="s">
        <v>85</v>
      </c>
      <c r="L3" s="68" t="s">
        <v>696</v>
      </c>
      <c r="M3" s="69" t="s">
        <v>694</v>
      </c>
      <c r="N3" s="69" t="s">
        <v>695</v>
      </c>
      <c r="O3" s="134" t="s">
        <v>724</v>
      </c>
      <c r="P3" s="133" t="s">
        <v>725</v>
      </c>
      <c r="Q3" s="133" t="s">
        <v>726</v>
      </c>
      <c r="R3" s="133" t="s">
        <v>481</v>
      </c>
      <c r="S3" s="133" t="s">
        <v>409</v>
      </c>
      <c r="T3" s="133" t="s">
        <v>410</v>
      </c>
      <c r="U3" s="133" t="s">
        <v>411</v>
      </c>
      <c r="V3" s="133" t="s">
        <v>727</v>
      </c>
      <c r="W3" s="133" t="s">
        <v>728</v>
      </c>
      <c r="X3" s="133" t="s">
        <v>729</v>
      </c>
      <c r="Y3" s="66" t="s">
        <v>414</v>
      </c>
      <c r="Z3" s="66" t="s">
        <v>452</v>
      </c>
      <c r="AA3" s="139" t="s">
        <v>703</v>
      </c>
      <c r="AB3" s="129" t="s">
        <v>704</v>
      </c>
      <c r="AC3" s="66" t="s">
        <v>450</v>
      </c>
      <c r="AD3" s="67" t="s">
        <v>414</v>
      </c>
      <c r="AE3" s="67"/>
      <c r="AF3" s="129" t="s">
        <v>697</v>
      </c>
      <c r="AG3" s="66" t="s">
        <v>698</v>
      </c>
      <c r="AH3" s="66" t="s">
        <v>699</v>
      </c>
      <c r="AI3" s="66" t="s">
        <v>481</v>
      </c>
      <c r="AJ3" s="66" t="s">
        <v>409</v>
      </c>
      <c r="AK3" s="66" t="s">
        <v>410</v>
      </c>
      <c r="AL3" s="66" t="s">
        <v>411</v>
      </c>
      <c r="AM3" s="66" t="s">
        <v>700</v>
      </c>
      <c r="AN3" s="66" t="s">
        <v>701</v>
      </c>
      <c r="AO3" s="66" t="s">
        <v>702</v>
      </c>
      <c r="AP3" s="67" t="s">
        <v>414</v>
      </c>
      <c r="AQ3" s="67"/>
      <c r="AR3" s="129" t="s">
        <v>697</v>
      </c>
      <c r="AS3" s="66" t="s">
        <v>698</v>
      </c>
      <c r="AT3" s="66" t="s">
        <v>699</v>
      </c>
      <c r="AU3" s="66" t="s">
        <v>481</v>
      </c>
      <c r="AV3" s="66" t="s">
        <v>409</v>
      </c>
      <c r="AW3" s="66" t="s">
        <v>410</v>
      </c>
      <c r="AX3" s="66" t="s">
        <v>411</v>
      </c>
      <c r="AY3" s="66" t="s">
        <v>700</v>
      </c>
      <c r="AZ3" s="66" t="s">
        <v>701</v>
      </c>
      <c r="BA3" s="66" t="s">
        <v>702</v>
      </c>
      <c r="BB3" s="67" t="s">
        <v>414</v>
      </c>
      <c r="BC3" s="66" t="s">
        <v>705</v>
      </c>
      <c r="BD3" s="66" t="s">
        <v>706</v>
      </c>
      <c r="BE3" s="67" t="s">
        <v>432</v>
      </c>
      <c r="BF3" s="134" t="s">
        <v>724</v>
      </c>
      <c r="BG3" s="133" t="s">
        <v>725</v>
      </c>
      <c r="BH3" s="133" t="s">
        <v>726</v>
      </c>
      <c r="BI3" s="133" t="s">
        <v>730</v>
      </c>
      <c r="BJ3" s="133" t="s">
        <v>706</v>
      </c>
      <c r="BK3" s="133" t="s">
        <v>409</v>
      </c>
      <c r="BL3" s="133" t="s">
        <v>410</v>
      </c>
      <c r="BM3" s="133" t="s">
        <v>411</v>
      </c>
      <c r="BN3" s="133" t="s">
        <v>727</v>
      </c>
      <c r="BO3" s="133" t="s">
        <v>728</v>
      </c>
      <c r="BP3" s="133" t="s">
        <v>729</v>
      </c>
      <c r="BQ3" s="67" t="s">
        <v>432</v>
      </c>
      <c r="BR3" s="67"/>
      <c r="BS3" s="132" t="s">
        <v>453</v>
      </c>
      <c r="BT3" s="140" t="s">
        <v>437</v>
      </c>
      <c r="BU3" s="132" t="s">
        <v>438</v>
      </c>
      <c r="BV3" s="132" t="s">
        <v>439</v>
      </c>
      <c r="BW3" s="132" t="s">
        <v>708</v>
      </c>
      <c r="BX3" s="132" t="s">
        <v>709</v>
      </c>
      <c r="BY3" s="132" t="s">
        <v>444</v>
      </c>
      <c r="BZ3" s="132" t="s">
        <v>454</v>
      </c>
      <c r="CA3" s="132" t="s">
        <v>443</v>
      </c>
      <c r="CB3" s="132" t="s">
        <v>445</v>
      </c>
      <c r="CC3" s="132" t="s">
        <v>446</v>
      </c>
      <c r="CD3" s="132" t="s">
        <v>456</v>
      </c>
      <c r="CE3" s="132" t="s">
        <v>455</v>
      </c>
      <c r="CF3" s="132" t="s">
        <v>641</v>
      </c>
      <c r="CG3" s="132" t="s">
        <v>480</v>
      </c>
      <c r="CH3" s="132" t="s">
        <v>711</v>
      </c>
      <c r="CI3" s="132" t="s">
        <v>453</v>
      </c>
      <c r="CJ3" s="140" t="s">
        <v>437</v>
      </c>
      <c r="CK3" s="132" t="s">
        <v>438</v>
      </c>
      <c r="CL3" s="132" t="s">
        <v>439</v>
      </c>
      <c r="CM3" s="132" t="s">
        <v>708</v>
      </c>
      <c r="CN3" s="132" t="s">
        <v>709</v>
      </c>
      <c r="CO3" s="132" t="s">
        <v>444</v>
      </c>
      <c r="CP3" s="132" t="s">
        <v>454</v>
      </c>
      <c r="CQ3" s="132" t="s">
        <v>443</v>
      </c>
      <c r="CR3" s="132" t="s">
        <v>445</v>
      </c>
      <c r="CS3" s="132" t="s">
        <v>446</v>
      </c>
      <c r="CT3" s="132" t="s">
        <v>456</v>
      </c>
      <c r="CU3" s="132" t="s">
        <v>419</v>
      </c>
      <c r="CV3" s="132" t="s">
        <v>641</v>
      </c>
      <c r="CW3" s="132" t="s">
        <v>480</v>
      </c>
      <c r="CX3" s="112"/>
      <c r="CY3" s="136" t="s">
        <v>675</v>
      </c>
      <c r="CZ3" s="142" t="s">
        <v>676</v>
      </c>
      <c r="DA3" s="67" t="s">
        <v>457</v>
      </c>
      <c r="DB3" s="67" t="s">
        <v>677</v>
      </c>
      <c r="DC3" s="67" t="s">
        <v>678</v>
      </c>
      <c r="DD3" s="116"/>
      <c r="DE3" s="140"/>
      <c r="DF3" s="142" t="s">
        <v>676</v>
      </c>
      <c r="DG3" s="67" t="s">
        <v>457</v>
      </c>
      <c r="DH3" s="67" t="s">
        <v>677</v>
      </c>
      <c r="DI3" s="67" t="s">
        <v>678</v>
      </c>
      <c r="DJ3" s="132"/>
      <c r="DK3" s="116"/>
      <c r="DL3" s="136" t="s">
        <v>676</v>
      </c>
      <c r="DM3" s="67" t="s">
        <v>457</v>
      </c>
      <c r="DN3" s="67" t="s">
        <v>677</v>
      </c>
      <c r="DO3" s="67" t="s">
        <v>678</v>
      </c>
      <c r="DP3" s="116"/>
      <c r="DQ3" s="136" t="s">
        <v>676</v>
      </c>
      <c r="DR3" s="67" t="s">
        <v>457</v>
      </c>
      <c r="DS3" s="67" t="s">
        <v>677</v>
      </c>
      <c r="DT3" s="67" t="s">
        <v>678</v>
      </c>
    </row>
    <row r="4" spans="1:124" x14ac:dyDescent="0.15">
      <c r="A4" s="142" t="s">
        <v>99</v>
      </c>
      <c r="E4" s="71"/>
      <c r="F4" s="126"/>
      <c r="I4" s="126"/>
      <c r="L4" s="72"/>
      <c r="Y4" s="73"/>
      <c r="Z4" s="73"/>
      <c r="AA4" s="73"/>
      <c r="AR4" s="84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4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</row>
    <row r="5" spans="1:124" ht="15" x14ac:dyDescent="0.2">
      <c r="A5" s="66" t="s">
        <v>621</v>
      </c>
      <c r="B5" s="73">
        <v>1.5</v>
      </c>
      <c r="C5" s="73">
        <v>0.02</v>
      </c>
      <c r="D5" s="126">
        <f t="shared" ref="D5:D10" si="0">C5*100/B5</f>
        <v>1.3333333333333333</v>
      </c>
      <c r="E5" s="72">
        <f t="shared" ref="E5:E10" si="1">B5/(100-B5)</f>
        <v>1.5228426395939087E-2</v>
      </c>
      <c r="F5" s="64">
        <f>G5^2</f>
        <v>4.6387188375056025</v>
      </c>
      <c r="G5" s="73">
        <v>2.1537685199448902</v>
      </c>
      <c r="H5" s="73">
        <v>5.5740099519684984E-2</v>
      </c>
      <c r="I5" s="126">
        <f t="shared" ref="I5:I10" si="2">H5*100/G5</f>
        <v>2.5880264756173164</v>
      </c>
      <c r="J5" s="70">
        <v>1075</v>
      </c>
      <c r="K5" s="70">
        <v>102</v>
      </c>
      <c r="L5" s="73">
        <v>0.28138641918933405</v>
      </c>
      <c r="M5" s="70">
        <v>2.2999999999999998</v>
      </c>
      <c r="N5" s="64">
        <f t="shared" ref="N5:N10" si="3">M5+2*LOG(L5)</f>
        <v>1.198606265703767</v>
      </c>
      <c r="O5" s="76">
        <v>56.41</v>
      </c>
      <c r="P5" s="73">
        <v>1.41</v>
      </c>
      <c r="Q5" s="73">
        <v>15.590000000000002</v>
      </c>
      <c r="R5" s="73">
        <v>9.5500000000000007</v>
      </c>
      <c r="S5" s="73">
        <v>0.22</v>
      </c>
      <c r="T5" s="73">
        <v>4.26</v>
      </c>
      <c r="U5" s="73">
        <v>8.14</v>
      </c>
      <c r="V5" s="73">
        <v>3.12</v>
      </c>
      <c r="W5" s="73">
        <v>1.3</v>
      </c>
      <c r="X5" s="73">
        <v>0</v>
      </c>
      <c r="Y5" s="73">
        <f t="shared" ref="Y5:Y10" si="4">SUM(O5:X5)</f>
        <v>100</v>
      </c>
      <c r="Z5" s="73">
        <v>4.42</v>
      </c>
      <c r="AA5" s="73">
        <v>0.77003310581960005</v>
      </c>
      <c r="AB5" s="59">
        <f t="shared" ref="AB5:AB10" si="5">(R5-AC5)*1.11</f>
        <v>4.3418043613025246</v>
      </c>
      <c r="AC5" s="60">
        <f t="shared" ref="AC5:AC10" si="6">R5*1.11/(AA5+1.11)</f>
        <v>5.6384645393670958</v>
      </c>
      <c r="AD5" s="57">
        <f t="shared" ref="AD5:AD10" si="7">100-R5+AB5+AC5</f>
        <v>100.43026890066962</v>
      </c>
      <c r="AE5" s="57"/>
      <c r="AF5" s="57">
        <f t="shared" ref="AF5:AO10" si="8">O5*(100-$B5)/100</f>
        <v>55.563849999999995</v>
      </c>
      <c r="AG5" s="57">
        <f t="shared" si="8"/>
        <v>1.3888499999999999</v>
      </c>
      <c r="AH5" s="57">
        <f t="shared" si="8"/>
        <v>15.356150000000003</v>
      </c>
      <c r="AI5" s="57">
        <f t="shared" si="8"/>
        <v>9.4067500000000006</v>
      </c>
      <c r="AJ5" s="57">
        <f t="shared" si="8"/>
        <v>0.2167</v>
      </c>
      <c r="AK5" s="57">
        <f t="shared" si="8"/>
        <v>4.1960999999999995</v>
      </c>
      <c r="AL5" s="57">
        <f t="shared" si="8"/>
        <v>8.0179000000000009</v>
      </c>
      <c r="AM5" s="57">
        <f t="shared" si="8"/>
        <v>3.0731999999999999</v>
      </c>
      <c r="AN5" s="57">
        <f t="shared" si="8"/>
        <v>1.2805000000000002</v>
      </c>
      <c r="AO5" s="57">
        <f t="shared" si="8"/>
        <v>0</v>
      </c>
      <c r="AP5" s="57">
        <f t="shared" ref="AP5:AP10" si="9">SUM(AF5:AO5)</f>
        <v>98.5</v>
      </c>
      <c r="AQ5" s="57"/>
      <c r="AR5" s="84">
        <f t="shared" ref="AR5:BA10" si="10">O5*(100-$B5)/$AD5</f>
        <v>55.325800287317087</v>
      </c>
      <c r="AS5" s="85">
        <f t="shared" si="10"/>
        <v>1.3828998121807676</v>
      </c>
      <c r="AT5" s="85">
        <f t="shared" si="10"/>
        <v>15.290360334679553</v>
      </c>
      <c r="AU5" s="85">
        <f t="shared" si="10"/>
        <v>9.3664490825009441</v>
      </c>
      <c r="AV5" s="85">
        <f t="shared" si="10"/>
        <v>0.21577160190054531</v>
      </c>
      <c r="AW5" s="85">
        <f t="shared" si="10"/>
        <v>4.1781228368014673</v>
      </c>
      <c r="AX5" s="85">
        <f t="shared" si="10"/>
        <v>7.9835492703201769</v>
      </c>
      <c r="AY5" s="85">
        <f t="shared" si="10"/>
        <v>3.0600336269531878</v>
      </c>
      <c r="AZ5" s="85">
        <f t="shared" si="10"/>
        <v>1.2750140112304951</v>
      </c>
      <c r="BA5" s="85">
        <f t="shared" si="10"/>
        <v>0</v>
      </c>
      <c r="BB5" s="85">
        <f t="shared" ref="BB5:BB10" si="11">SUM(AR5:BA5)</f>
        <v>98.078000863884228</v>
      </c>
      <c r="BC5" s="85">
        <f t="shared" ref="BC5:BD10" si="12">AB5*(100-$B5)/$AD5</f>
        <v>4.2583549189864529</v>
      </c>
      <c r="BD5" s="85">
        <f t="shared" si="12"/>
        <v>5.5300932996302654</v>
      </c>
      <c r="BE5" s="85">
        <f t="shared" ref="BE5:BE10" si="13">BB5+BC5+BD5+B5-AU5</f>
        <v>100</v>
      </c>
      <c r="BF5" s="84">
        <f t="shared" ref="BF5:BH10" si="14">AR5*100/(100-$B5)</f>
        <v>56.168325164788925</v>
      </c>
      <c r="BG5" s="85">
        <f t="shared" si="14"/>
        <v>1.4039592001835206</v>
      </c>
      <c r="BH5" s="85">
        <f t="shared" si="14"/>
        <v>15.523208461603607</v>
      </c>
      <c r="BI5" s="85">
        <f t="shared" ref="BI5:BJ10" si="15">BC5*100/(100-$B5)</f>
        <v>4.3232029634380229</v>
      </c>
      <c r="BJ5" s="85">
        <f t="shared" si="15"/>
        <v>5.6143079184063609</v>
      </c>
      <c r="BK5" s="85">
        <f t="shared" ref="BK5:BP10" si="16">AV5*100/(100-$B5)</f>
        <v>0.21905746385842165</v>
      </c>
      <c r="BL5" s="85">
        <f t="shared" si="16"/>
        <v>4.2417490728948906</v>
      </c>
      <c r="BM5" s="85">
        <f t="shared" si="16"/>
        <v>8.1051261627616018</v>
      </c>
      <c r="BN5" s="85">
        <f t="shared" si="16"/>
        <v>3.1066331238103433</v>
      </c>
      <c r="BO5" s="85">
        <f t="shared" si="16"/>
        <v>1.2944304682543097</v>
      </c>
      <c r="BP5" s="85">
        <f t="shared" si="16"/>
        <v>0</v>
      </c>
      <c r="BQ5" s="85">
        <f t="shared" ref="BQ5:BQ10" si="17">SUM(BF5:BP5)</f>
        <v>100</v>
      </c>
      <c r="BR5" s="85"/>
      <c r="BS5" s="82">
        <f>AR5/Weights!$B$5*2+AS5/Weights!$B$7*2+AT5/Weights!$B$8*3+'Data and calc.'!BC5/Weights!$B$20*3+'Data and calc.'!BD5/Weights!$B$10+'Data and calc.'!AV5/Weights!$B$11+'Data and calc.'!AW5/Weights!$B$13+'Data and calc.'!AX5/Weights!$B$14+'Data and calc.'!AY5/Weights!$B$15+AZ5/Weights!$B$16+B5/Weights!$B$19+'Data and calc.'!BA5/Weights!$B$6*5</f>
        <v>2.8783903252519734</v>
      </c>
      <c r="BT5" s="84">
        <f>AR5/Weights!$B$5*8/'Data and calc.'!$BS5</f>
        <v>2.5592717107520575</v>
      </c>
      <c r="BU5" s="85">
        <f>AS5/Weights!$B$7*8/'Data and calc.'!$BS5</f>
        <v>4.8125418854459923E-2</v>
      </c>
      <c r="BV5" s="85">
        <f>AT5/Weights!$B$8*8/'Data and calc.'!$BS5*2</f>
        <v>0.83360029910906708</v>
      </c>
      <c r="BW5" s="85">
        <f>BC5/Weights!$B$20*8/'Data and calc.'!$BS5*2</f>
        <v>0.14823221217309276</v>
      </c>
      <c r="BX5" s="85">
        <f>BD5/Weights!$B$10*8/'Data and calc.'!$BS5</f>
        <v>0.2139352037186926</v>
      </c>
      <c r="BY5" s="85">
        <f>AV5/Weights!$B$11*8/'Data and calc.'!$BS5</f>
        <v>8.4539855153989481E-3</v>
      </c>
      <c r="BZ5" s="85">
        <f>AW5/Weights!$B$13*8/'Data and calc.'!$BS5</f>
        <v>0.28811996586961675</v>
      </c>
      <c r="CA5" s="85">
        <f>AX5/Weights!$B$14*8/'Data and calc.'!$BS5</f>
        <v>0.39568677839051764</v>
      </c>
      <c r="CB5" s="85">
        <f>AY5/Weights!$B$15*8/'Data and calc.'!$BS5*2</f>
        <v>0.27444489950780787</v>
      </c>
      <c r="CC5" s="85">
        <f>AZ5/Weights!$B$16*8/'Data and calc.'!$BS5*2</f>
        <v>7.5241013498949696E-2</v>
      </c>
      <c r="CD5" s="85">
        <f>BA5/Weights!$B$6*8/'Data and calc.'!$BS5*2</f>
        <v>0</v>
      </c>
      <c r="CE5" s="85">
        <f>B5/Weights!$B$19*8/'Data and calc.'!$BS5*2</f>
        <v>0.46283616773224229</v>
      </c>
      <c r="CF5" s="85">
        <f t="shared" ref="CF5:CF10" si="18">SUM(BT5:BW5)*4</f>
        <v>14.356918563554707</v>
      </c>
      <c r="CG5" s="85">
        <f t="shared" ref="CG5:CG10" si="19">(16-CF5)/SUM(BT5:BW5)</f>
        <v>0.45778108419902419</v>
      </c>
      <c r="CH5" s="85">
        <f t="shared" ref="CH5:CH10" si="20">CE5/SUM(BT5:CD5)</f>
        <v>9.5526422650307002E-2</v>
      </c>
      <c r="CI5" s="85">
        <f>AR5/Weights!$B$5*2+AS5/Weights!$B$7*2+AT5/Weights!$B$8*3+'Data and calc.'!BC5/Weights!$B$20*3+'Data and calc.'!BD5/Weights!$B$10+'Data and calc.'!AV5/Weights!$B$11+'Data and calc.'!AW5/Weights!$B$13+'Data and calc.'!AX5/Weights!$B$14+'Data and calc.'!AY5/Weights!$B$15+AZ5/Weights!$B$16+'Data and calc.'!BA5/Weights!$B$6*5</f>
        <v>2.7951263785408993</v>
      </c>
      <c r="CJ5" s="84">
        <f>AR5/Weights!$B$5*8/'Data and calc.'!$CI5</f>
        <v>2.6355097889224113</v>
      </c>
      <c r="CK5" s="85">
        <f>AS5/Weights!$B$7*8/'Data and calc.'!$CI5</f>
        <v>4.9559025700186034E-2</v>
      </c>
      <c r="CL5" s="85">
        <f>AT5/Weights!$B$8*8/'Data and calc.'!$CI5*2</f>
        <v>0.85843239665436133</v>
      </c>
      <c r="CM5" s="85">
        <f>BC5/Weights!$B$20*8/'Data and calc.'!$CI5*2</f>
        <v>0.15264789767125186</v>
      </c>
      <c r="CN5" s="85">
        <f>BD5/Weights!$B$10*8/'Data and calc.'!$CI5</f>
        <v>0.22030811391653299</v>
      </c>
      <c r="CO5" s="85">
        <f>AV5/Weights!$B$11*8/'Data and calc.'!$CI5</f>
        <v>8.7058210691880484E-3</v>
      </c>
      <c r="CP5" s="85">
        <f>AW5/Weights!$B$13*8/'Data and calc.'!$CI5</f>
        <v>0.29670276401024587</v>
      </c>
      <c r="CQ5" s="85">
        <f>AX5/Weights!$B$14*8/'Data and calc.'!$CI5</f>
        <v>0.40747388150081892</v>
      </c>
      <c r="CR5" s="85">
        <f>AY5/Weights!$B$15*8/'Data and calc.'!$CI5*2</f>
        <v>0.28262033145363386</v>
      </c>
      <c r="CS5" s="85">
        <f>AZ5/Weights!$B$16*8/'Data and calc.'!$CI5*2</f>
        <v>7.7482366085566592E-2</v>
      </c>
      <c r="CT5" s="85">
        <f>BA5/Weights!$B$6*8/'Data and calc.'!$CI5*2</f>
        <v>0</v>
      </c>
      <c r="CU5" s="85">
        <f t="shared" ref="CU5:CU10" si="21">CJ5*2+CK5*2+CL5*1.5+CM5*1.5+CN5+CO5+CP5+CQ5+CR5*0.5+CS5*0.5+CT5*2.5</f>
        <v>8</v>
      </c>
      <c r="CV5" s="85">
        <f t="shared" ref="CV5:CV10" si="22">SUM(CJ5:CM5)*4</f>
        <v>14.784596435792842</v>
      </c>
      <c r="CW5" s="85">
        <f t="shared" ref="CW5:CW10" si="23">(16-CV5)/SUM(CJ5:CM5)</f>
        <v>0.32882968959902631</v>
      </c>
      <c r="CX5" s="113"/>
      <c r="CY5" s="90">
        <f>$CZ$2*G5+$DB$2</f>
        <v>1.4873946956725503E-2</v>
      </c>
      <c r="CZ5" s="91">
        <f t="shared" ref="CZ5:CZ10" si="24">100*CY5/(1+CY5)</f>
        <v>1.4655955058583972</v>
      </c>
      <c r="DA5" s="85">
        <f t="shared" ref="DA5:DA10" si="25">CZ5-B5</f>
        <v>-3.4404494141602848E-2</v>
      </c>
      <c r="DB5" s="85">
        <f t="shared" ref="DB5:DB10" si="26">ABS(DA5)</f>
        <v>3.4404494141602848E-2</v>
      </c>
      <c r="DC5" s="85">
        <f t="shared" ref="DC5:DC10" si="27">DA5^2</f>
        <v>1.1836692171395848E-3</v>
      </c>
      <c r="DD5" s="117"/>
      <c r="DE5" s="97"/>
      <c r="DF5" s="91">
        <f>$DF$2*G5^2 + $DH$2*G5 +$DJ$2</f>
        <v>1.4665044351232484</v>
      </c>
      <c r="DG5" s="85">
        <f t="shared" ref="DG5:DG10" si="28">DF5-B5</f>
        <v>-3.3495564876751649E-2</v>
      </c>
      <c r="DH5" s="85">
        <f t="shared" ref="DH5:DH10" si="29">ABS(DG5)</f>
        <v>3.3495564876751649E-2</v>
      </c>
      <c r="DI5" s="85">
        <f t="shared" ref="DI5:DI10" si="30">DG5^2</f>
        <v>1.1219528664126786E-3</v>
      </c>
      <c r="DK5" s="117"/>
      <c r="DL5" s="99">
        <f>'Eq. 3 coef.'!$B$15+'Eq. 3 coef.'!$B$16*'Data and calc.'!G5^2+'Eq. 3 coef.'!$B$17*'Data and calc.'!G5+'Eq. 3 coef.'!$B$18*'Data and calc.'!BF5+'Eq. 3 coef.'!$B$19*'Data and calc.'!BG5+'Eq. 3 coef.'!$B$20*'Data and calc.'!BH5+'Eq. 3 coef.'!$B$21*'Data and calc.'!BI5+'Eq. 3 coef.'!$B$22*'Data and calc.'!BJ5+'Eq. 3 coef.'!$B$23*'Data and calc.'!BK5+'Eq. 3 coef.'!$B$24*'Data and calc.'!BL5+'Eq. 3 coef.'!$B$25*'Data and calc.'!BM5+'Eq. 3 coef.'!$B$26*'Data and calc.'!BN5+'Eq. 3 coef.'!$B$27*'Data and calc.'!BO5+'Eq. 3 coef.'!$B$28*'Data and calc.'!BP5</f>
        <v>1.4010425598462461</v>
      </c>
      <c r="DM5" s="85">
        <f t="shared" ref="DM5:DM10" si="31">DL5-B5</f>
        <v>-9.8957440153753851E-2</v>
      </c>
      <c r="DN5" s="85">
        <f t="shared" ref="DN5:DN10" si="32">ABS(DM5)</f>
        <v>9.8957440153753851E-2</v>
      </c>
      <c r="DO5" s="85">
        <f t="shared" ref="DO5:DO67" si="33">DM5^2</f>
        <v>9.7925749617837742E-3</v>
      </c>
      <c r="DP5" s="117"/>
      <c r="DQ5" s="99">
        <f>'Eq. 4 coef.'!$B$15+'Eq. 4 coef.'!$B$16*'Data and calc.'!G5^2+'Eq. 4 coef.'!$B$17*'Data and calc.'!G5+'Eq. 4 coef.'!$B$18*'Data and calc.'!O5+'Eq. 4 coef.'!$B$19*'Data and calc.'!P5+'Eq. 4 coef.'!$B$20*'Data and calc.'!Q5+'Eq. 4 coef.'!$B$21*'Data and calc.'!R5+'Eq. 4 coef.'!$B$22*'Data and calc.'!S5+'Eq. 4 coef.'!$B$23*'Data and calc.'!T5+'Eq. 4 coef.'!$B$24*'Data and calc.'!U5+'Eq. 4 coef.'!$B$25*'Data and calc.'!V5+'Eq. 4 coef.'!$B$26*'Data and calc.'!W5+'Eq. 4 coef.'!$B$27*'Data and calc.'!X5</f>
        <v>1.4572129070784285</v>
      </c>
      <c r="DR5" s="85">
        <f t="shared" ref="DR5:DR10" si="34">DQ5-B5</f>
        <v>-4.2787092921571457E-2</v>
      </c>
      <c r="DS5" s="85">
        <f t="shared" ref="DS5:DS10" si="35">ABS(DR5)</f>
        <v>4.2787092921571457E-2</v>
      </c>
      <c r="DT5" s="85">
        <f t="shared" ref="DT5:DT10" si="36">DR5^2</f>
        <v>1.8307353206791902E-3</v>
      </c>
    </row>
    <row r="6" spans="1:124" ht="15" x14ac:dyDescent="0.2">
      <c r="A6" s="66" t="s">
        <v>95</v>
      </c>
      <c r="B6" s="73">
        <v>3.15</v>
      </c>
      <c r="C6" s="73">
        <v>0.02</v>
      </c>
      <c r="D6" s="126">
        <f t="shared" si="0"/>
        <v>0.63492063492063489</v>
      </c>
      <c r="E6" s="72">
        <f t="shared" si="1"/>
        <v>3.2524522457408361E-2</v>
      </c>
      <c r="F6" s="64">
        <f t="shared" ref="F6:F10" si="37">G6^2</f>
        <v>21.023282891685312</v>
      </c>
      <c r="G6" s="73">
        <v>4.585115362963653</v>
      </c>
      <c r="H6" s="73">
        <v>2.5284146866900982E-2</v>
      </c>
      <c r="I6" s="126">
        <f t="shared" si="2"/>
        <v>0.55143971013541138</v>
      </c>
      <c r="J6" s="70">
        <v>1075</v>
      </c>
      <c r="K6" s="70">
        <v>102</v>
      </c>
      <c r="L6" s="73">
        <v>0.83221491928528679</v>
      </c>
      <c r="M6" s="70">
        <v>2.2999999999999998</v>
      </c>
      <c r="N6" s="64">
        <f t="shared" si="3"/>
        <v>2.1404709944235787</v>
      </c>
      <c r="O6" s="76">
        <v>54.29999999999999</v>
      </c>
      <c r="P6" s="73">
        <v>0.97</v>
      </c>
      <c r="Q6" s="73">
        <v>17.96</v>
      </c>
      <c r="R6" s="73">
        <v>8.77</v>
      </c>
      <c r="S6" s="73">
        <v>0.17</v>
      </c>
      <c r="T6" s="73">
        <v>5.78</v>
      </c>
      <c r="U6" s="73">
        <v>8.67</v>
      </c>
      <c r="V6" s="73">
        <v>2.48</v>
      </c>
      <c r="W6" s="73">
        <v>0.90000000000000013</v>
      </c>
      <c r="X6" s="73">
        <v>0</v>
      </c>
      <c r="Y6" s="73">
        <f t="shared" si="4"/>
        <v>100</v>
      </c>
      <c r="Z6" s="73">
        <v>3.38</v>
      </c>
      <c r="AA6" s="73">
        <v>1.2821801649898932</v>
      </c>
      <c r="AB6" s="59">
        <f t="shared" si="5"/>
        <v>5.2176836154729376</v>
      </c>
      <c r="AC6" s="60">
        <f t="shared" si="6"/>
        <v>4.0693841302045604</v>
      </c>
      <c r="AD6" s="57">
        <f t="shared" si="7"/>
        <v>100.51706774567749</v>
      </c>
      <c r="AE6" s="57"/>
      <c r="AF6" s="57">
        <f t="shared" si="8"/>
        <v>52.589549999999988</v>
      </c>
      <c r="AG6" s="57">
        <f t="shared" si="8"/>
        <v>0.93944499999999986</v>
      </c>
      <c r="AH6" s="57">
        <f t="shared" si="8"/>
        <v>17.394259999999999</v>
      </c>
      <c r="AI6" s="57">
        <f t="shared" si="8"/>
        <v>8.4937449999999988</v>
      </c>
      <c r="AJ6" s="57">
        <f t="shared" si="8"/>
        <v>0.16464500000000001</v>
      </c>
      <c r="AK6" s="57">
        <f t="shared" si="8"/>
        <v>5.5979299999999999</v>
      </c>
      <c r="AL6" s="57">
        <f t="shared" si="8"/>
        <v>8.3968949999999989</v>
      </c>
      <c r="AM6" s="57">
        <f t="shared" si="8"/>
        <v>2.4018799999999998</v>
      </c>
      <c r="AN6" s="57">
        <f t="shared" si="8"/>
        <v>0.87165000000000004</v>
      </c>
      <c r="AO6" s="57">
        <f t="shared" si="8"/>
        <v>0</v>
      </c>
      <c r="AP6" s="57">
        <f t="shared" si="9"/>
        <v>96.85</v>
      </c>
      <c r="AQ6" s="57"/>
      <c r="AR6" s="84">
        <f t="shared" si="10"/>
        <v>52.319025195859318</v>
      </c>
      <c r="AS6" s="85">
        <f t="shared" si="10"/>
        <v>0.93461242062584793</v>
      </c>
      <c r="AT6" s="85">
        <f t="shared" si="10"/>
        <v>17.304782550969311</v>
      </c>
      <c r="AU6" s="85">
        <f t="shared" si="10"/>
        <v>8.4500525040089549</v>
      </c>
      <c r="AV6" s="85">
        <f t="shared" si="10"/>
        <v>0.16379805309937545</v>
      </c>
      <c r="AW6" s="85">
        <f t="shared" si="10"/>
        <v>5.5691338053787645</v>
      </c>
      <c r="AX6" s="85">
        <f t="shared" si="10"/>
        <v>8.3537007080681462</v>
      </c>
      <c r="AY6" s="85">
        <f t="shared" si="10"/>
        <v>2.389524539332065</v>
      </c>
      <c r="AZ6" s="85">
        <f t="shared" si="10"/>
        <v>0.86716616346728181</v>
      </c>
      <c r="BA6" s="85">
        <f t="shared" si="10"/>
        <v>0</v>
      </c>
      <c r="BB6" s="85">
        <f t="shared" si="11"/>
        <v>96.351795940809069</v>
      </c>
      <c r="BC6" s="85">
        <f t="shared" si="12"/>
        <v>5.0273318700175134</v>
      </c>
      <c r="BD6" s="85">
        <f t="shared" si="12"/>
        <v>3.9209246931823665</v>
      </c>
      <c r="BE6" s="85">
        <f t="shared" si="13"/>
        <v>100.00000000000001</v>
      </c>
      <c r="BF6" s="84">
        <f t="shared" si="14"/>
        <v>54.020676505791762</v>
      </c>
      <c r="BG6" s="85">
        <f t="shared" si="14"/>
        <v>0.96501024328946616</v>
      </c>
      <c r="BH6" s="85">
        <f t="shared" si="14"/>
        <v>17.867612339668881</v>
      </c>
      <c r="BI6" s="85">
        <f t="shared" si="15"/>
        <v>5.1908434383247428</v>
      </c>
      <c r="BJ6" s="85">
        <f t="shared" si="15"/>
        <v>4.0484508964195838</v>
      </c>
      <c r="BK6" s="85">
        <f t="shared" si="16"/>
        <v>0.16912550655588587</v>
      </c>
      <c r="BL6" s="85">
        <f t="shared" si="16"/>
        <v>5.7502672229001188</v>
      </c>
      <c r="BM6" s="85">
        <f t="shared" si="16"/>
        <v>8.6254008343501773</v>
      </c>
      <c r="BN6" s="85">
        <f t="shared" si="16"/>
        <v>2.4672426838740993</v>
      </c>
      <c r="BO6" s="85">
        <f t="shared" si="16"/>
        <v>0.89537032882527823</v>
      </c>
      <c r="BP6" s="85">
        <f t="shared" si="16"/>
        <v>0</v>
      </c>
      <c r="BQ6" s="85">
        <f t="shared" si="17"/>
        <v>100</v>
      </c>
      <c r="BR6" s="85"/>
      <c r="BS6" s="82">
        <f>AR6/Weights!$B$5*2+AS6/Weights!$B$7*2+AT6/Weights!$B$8*3+'Data and calc.'!BC6/Weights!$B$20*3+'Data and calc.'!BD6/Weights!$B$10+'Data and calc.'!AV6/Weights!$B$11+'Data and calc.'!AW6/Weights!$B$13+'Data and calc.'!AX6/Weights!$B$14+'Data and calc.'!AY6/Weights!$B$15+AZ6/Weights!$B$16+B6/Weights!$B$19+'Data and calc.'!BA6/Weights!$B$6*5</f>
        <v>2.9352194227666897</v>
      </c>
      <c r="BT6" s="84">
        <f>AR6/Weights!$B$5*8/'Data and calc.'!$BS6</f>
        <v>2.373326283277942</v>
      </c>
      <c r="BU6" s="85">
        <f>AS6/Weights!$B$7*8/'Data and calc.'!$BS6</f>
        <v>3.1895136621742315E-2</v>
      </c>
      <c r="BV6" s="85">
        <f>AT6/Weights!$B$8*8/'Data and calc.'!$BS6*2</f>
        <v>0.92515692023718832</v>
      </c>
      <c r="BW6" s="85">
        <f>BC6/Weights!$B$20*8/'Data and calc.'!$BS6*2</f>
        <v>0.17161190150880398</v>
      </c>
      <c r="BX6" s="85">
        <f>BD6/Weights!$B$10*8/'Data and calc.'!$BS6</f>
        <v>0.14874672461811683</v>
      </c>
      <c r="BY6" s="85">
        <f>AV6/Weights!$B$11*8/'Data and calc.'!$BS6</f>
        <v>6.2933960432741097E-3</v>
      </c>
      <c r="BZ6" s="85">
        <f>AW6/Weights!$B$13*8/'Data and calc.'!$BS6</f>
        <v>0.37660745854157118</v>
      </c>
      <c r="CA6" s="85">
        <f>AX6/Weights!$B$14*8/'Data and calc.'!$BS6</f>
        <v>0.40601637950655756</v>
      </c>
      <c r="CB6" s="85">
        <f>AY6/Weights!$B$15*8/'Data and calc.'!$BS6*2</f>
        <v>0.21015976470353528</v>
      </c>
      <c r="CC6" s="85">
        <f>AZ6/Weights!$B$16*8/'Data and calc.'!$BS6*2</f>
        <v>5.0182364060472578E-2</v>
      </c>
      <c r="CD6" s="85">
        <f>BA6/Weights!$B$6*8/'Data and calc.'!$BS6*2</f>
        <v>0</v>
      </c>
      <c r="CE6" s="85">
        <f>B6/Weights!$B$19*8/'Data and calc.'!$BS6*2</f>
        <v>0.95313780898024092</v>
      </c>
      <c r="CF6" s="85">
        <f t="shared" si="18"/>
        <v>14.007960966582708</v>
      </c>
      <c r="CG6" s="85">
        <f t="shared" si="19"/>
        <v>0.56883054947668299</v>
      </c>
      <c r="CH6" s="85">
        <f t="shared" si="20"/>
        <v>0.20279543689747143</v>
      </c>
      <c r="CI6" s="85">
        <f>AR6/Weights!$B$5*2+AS6/Weights!$B$7*2+AT6/Weights!$B$8*3+'Data and calc.'!BC6/Weights!$B$20*3+'Data and calc.'!BD6/Weights!$B$10+'Data and calc.'!AV6/Weights!$B$11+'Data and calc.'!AW6/Weights!$B$13+'Data and calc.'!AX6/Weights!$B$14+'Data and calc.'!AY6/Weights!$B$15+AZ6/Weights!$B$16+'Data and calc.'!BA6/Weights!$B$6*5</f>
        <v>2.7603651346734339</v>
      </c>
      <c r="CJ6" s="84">
        <f>AR6/Weights!$B$5*8/'Data and calc.'!$CI6</f>
        <v>2.5236637413420442</v>
      </c>
      <c r="CK6" s="85">
        <f>AS6/Weights!$B$7*8/'Data and calc.'!$CI6</f>
        <v>3.3915522018434292E-2</v>
      </c>
      <c r="CL6" s="85">
        <f>AT6/Weights!$B$8*8/'Data and calc.'!$CI6*2</f>
        <v>0.98376063632917576</v>
      </c>
      <c r="CM6" s="85">
        <f>BC6/Weights!$B$20*8/'Data and calc.'!$CI6*2</f>
        <v>0.18248259266836389</v>
      </c>
      <c r="CN6" s="85">
        <f>BD6/Weights!$B$10*8/'Data and calc.'!$CI6</f>
        <v>0.15816902977354741</v>
      </c>
      <c r="CO6" s="85">
        <f>AV6/Weights!$B$11*8/'Data and calc.'!$CI6</f>
        <v>6.6920488414177123E-3</v>
      </c>
      <c r="CP6" s="85">
        <f>AW6/Weights!$B$13*8/'Data and calc.'!$CI6</f>
        <v>0.40046351592569235</v>
      </c>
      <c r="CQ6" s="85">
        <f>AX6/Weights!$B$14*8/'Data and calc.'!$CI6</f>
        <v>0.43173533389453173</v>
      </c>
      <c r="CR6" s="85">
        <f>AY6/Weights!$B$15*8/'Data and calc.'!$CI6*2</f>
        <v>0.22347225571477616</v>
      </c>
      <c r="CS6" s="85">
        <f>AZ6/Weights!$B$16*8/'Data and calc.'!$CI6*2</f>
        <v>5.336114698031575E-2</v>
      </c>
      <c r="CT6" s="85">
        <f>BA6/Weights!$B$6*8/'Data and calc.'!$CI6*2</f>
        <v>0</v>
      </c>
      <c r="CU6" s="85">
        <f t="shared" si="21"/>
        <v>8</v>
      </c>
      <c r="CV6" s="85">
        <f t="shared" si="22"/>
        <v>14.895289969432072</v>
      </c>
      <c r="CW6" s="85">
        <f t="shared" si="23"/>
        <v>0.29666022825604593</v>
      </c>
      <c r="CX6" s="113"/>
      <c r="CY6" s="90">
        <f t="shared" ref="CY6:CY10" si="38">$CZ$2*G6+$DB$2</f>
        <v>3.5807843275117053E-2</v>
      </c>
      <c r="CZ6" s="91">
        <f t="shared" si="24"/>
        <v>3.4569967303874014</v>
      </c>
      <c r="DA6" s="85">
        <f t="shared" si="25"/>
        <v>0.3069967303874015</v>
      </c>
      <c r="DB6" s="85">
        <f t="shared" si="26"/>
        <v>0.3069967303874015</v>
      </c>
      <c r="DC6" s="85">
        <f t="shared" si="27"/>
        <v>9.4246992468554891E-2</v>
      </c>
      <c r="DD6" s="117"/>
      <c r="DE6" s="97"/>
      <c r="DF6" s="91">
        <f t="shared" ref="DF6:DF10" si="39">$DF$2*G6^2 + $DH$2*G6 +$DJ$2</f>
        <v>3.4708294794280876</v>
      </c>
      <c r="DG6" s="85">
        <f t="shared" si="28"/>
        <v>0.3208294794280877</v>
      </c>
      <c r="DH6" s="85">
        <f t="shared" si="29"/>
        <v>0.3208294794280877</v>
      </c>
      <c r="DI6" s="85">
        <f t="shared" si="30"/>
        <v>0.10293155487009775</v>
      </c>
      <c r="DK6" s="117"/>
      <c r="DL6" s="99">
        <f>'Eq. 3 coef.'!$B$15+'Eq. 3 coef.'!$B$16*'Data and calc.'!G6^2+'Eq. 3 coef.'!$B$17*'Data and calc.'!G6+'Eq. 3 coef.'!$B$18*'Data and calc.'!BF6+'Eq. 3 coef.'!$B$19*'Data and calc.'!BG6+'Eq. 3 coef.'!$B$20*'Data and calc.'!BH6+'Eq. 3 coef.'!$B$21*'Data and calc.'!BI6+'Eq. 3 coef.'!$B$22*'Data and calc.'!BJ6+'Eq. 3 coef.'!$B$23*'Data and calc.'!BK6+'Eq. 3 coef.'!$B$24*'Data and calc.'!BL6+'Eq. 3 coef.'!$B$25*'Data and calc.'!BM6+'Eq. 3 coef.'!$B$26*'Data and calc.'!BN6+'Eq. 3 coef.'!$B$27*'Data and calc.'!BO6+'Eq. 3 coef.'!$B$28*'Data and calc.'!BP6</f>
        <v>3.6246425144872774</v>
      </c>
      <c r="DM6" s="85">
        <f t="shared" si="31"/>
        <v>0.47464251448727746</v>
      </c>
      <c r="DN6" s="85">
        <f t="shared" si="32"/>
        <v>0.47464251448727746</v>
      </c>
      <c r="DO6" s="85">
        <f t="shared" si="33"/>
        <v>0.22528551655880538</v>
      </c>
      <c r="DP6" s="117"/>
      <c r="DQ6" s="99">
        <f>'Eq. 4 coef.'!$B$15+'Eq. 4 coef.'!$B$16*'Data and calc.'!G6^2+'Eq. 4 coef.'!$B$17*'Data and calc.'!G6+'Eq. 4 coef.'!$B$18*'Data and calc.'!O6+'Eq. 4 coef.'!$B$19*'Data and calc.'!P6+'Eq. 4 coef.'!$B$20*'Data and calc.'!Q6+'Eq. 4 coef.'!$B$21*'Data and calc.'!R6+'Eq. 4 coef.'!$B$22*'Data and calc.'!S6+'Eq. 4 coef.'!$B$23*'Data and calc.'!T6+'Eq. 4 coef.'!$B$24*'Data and calc.'!U6+'Eq. 4 coef.'!$B$25*'Data and calc.'!V6+'Eq. 4 coef.'!$B$26*'Data and calc.'!W6+'Eq. 4 coef.'!$B$27*'Data and calc.'!X6</f>
        <v>3.6284641976626517</v>
      </c>
      <c r="DR6" s="85">
        <f t="shared" si="34"/>
        <v>0.4784641976626518</v>
      </c>
      <c r="DS6" s="85">
        <f t="shared" si="35"/>
        <v>0.4784641976626518</v>
      </c>
      <c r="DT6" s="85">
        <f t="shared" si="36"/>
        <v>0.22892798844496515</v>
      </c>
    </row>
    <row r="7" spans="1:124" ht="15" x14ac:dyDescent="0.2">
      <c r="A7" s="66" t="s">
        <v>96</v>
      </c>
      <c r="B7" s="73">
        <v>0.49</v>
      </c>
      <c r="C7" s="73">
        <v>0.02</v>
      </c>
      <c r="D7" s="126">
        <f t="shared" si="0"/>
        <v>4.0816326530612246</v>
      </c>
      <c r="E7" s="72">
        <f t="shared" si="1"/>
        <v>4.9241282283187613E-3</v>
      </c>
      <c r="F7" s="64">
        <f t="shared" si="37"/>
        <v>0.71261139978979537</v>
      </c>
      <c r="G7" s="73">
        <v>0.84416313576807855</v>
      </c>
      <c r="H7" s="73">
        <v>1.3939430208225285E-2</v>
      </c>
      <c r="I7" s="126">
        <f t="shared" si="2"/>
        <v>1.6512720844582036</v>
      </c>
      <c r="J7" s="70">
        <v>1150</v>
      </c>
      <c r="K7" s="70">
        <v>104</v>
      </c>
      <c r="L7" s="73">
        <v>1.4164997923618921E-2</v>
      </c>
      <c r="M7" s="70">
        <v>2.2999999999999998</v>
      </c>
      <c r="N7" s="64">
        <f t="shared" si="3"/>
        <v>-1.3975669696094899</v>
      </c>
      <c r="O7" s="76">
        <v>55.375537553755379</v>
      </c>
      <c r="P7" s="73">
        <v>1.0701070107010702</v>
      </c>
      <c r="Q7" s="73">
        <v>16.601660166016604</v>
      </c>
      <c r="R7" s="73">
        <v>8.6508650865086523</v>
      </c>
      <c r="S7" s="73">
        <v>0.20002000200019998</v>
      </c>
      <c r="T7" s="73">
        <v>6.1606160616061603</v>
      </c>
      <c r="U7" s="73">
        <v>8.2508250825082499</v>
      </c>
      <c r="V7" s="73">
        <v>2.6902690269026901</v>
      </c>
      <c r="W7" s="73">
        <v>1.0001000100010002</v>
      </c>
      <c r="X7" s="73">
        <v>0</v>
      </c>
      <c r="Y7" s="73">
        <f t="shared" si="4"/>
        <v>100</v>
      </c>
      <c r="Z7" s="73">
        <v>3.6903690369036903</v>
      </c>
      <c r="AA7" s="73">
        <v>0.15830693326889478</v>
      </c>
      <c r="AB7" s="59">
        <f t="shared" si="5"/>
        <v>1.1985553287694186</v>
      </c>
      <c r="AC7" s="60">
        <f t="shared" si="6"/>
        <v>7.5710855110407076</v>
      </c>
      <c r="AD7" s="57">
        <f t="shared" si="7"/>
        <v>100.11877575330148</v>
      </c>
      <c r="AE7" s="57"/>
      <c r="AF7" s="57">
        <f t="shared" si="8"/>
        <v>55.104197419741979</v>
      </c>
      <c r="AG7" s="57">
        <f t="shared" si="8"/>
        <v>1.064863486348635</v>
      </c>
      <c r="AH7" s="57">
        <f t="shared" si="8"/>
        <v>16.520312031203122</v>
      </c>
      <c r="AI7" s="57">
        <f t="shared" si="8"/>
        <v>8.60847584758476</v>
      </c>
      <c r="AJ7" s="57">
        <f t="shared" si="8"/>
        <v>0.19903990399039903</v>
      </c>
      <c r="AK7" s="57">
        <f t="shared" si="8"/>
        <v>6.1304290429042911</v>
      </c>
      <c r="AL7" s="57">
        <f t="shared" si="8"/>
        <v>8.2103960396039604</v>
      </c>
      <c r="AM7" s="57">
        <f t="shared" si="8"/>
        <v>2.677086708670867</v>
      </c>
      <c r="AN7" s="57">
        <f t="shared" si="8"/>
        <v>0.99519951995199529</v>
      </c>
      <c r="AO7" s="57">
        <f t="shared" si="8"/>
        <v>0</v>
      </c>
      <c r="AP7" s="57">
        <f t="shared" si="9"/>
        <v>99.510000000000019</v>
      </c>
      <c r="AQ7" s="57"/>
      <c r="AR7" s="84">
        <f t="shared" si="10"/>
        <v>55.038824641166151</v>
      </c>
      <c r="AS7" s="85">
        <f t="shared" si="10"/>
        <v>1.0636001872141554</v>
      </c>
      <c r="AT7" s="85">
        <f t="shared" si="10"/>
        <v>16.500713184817741</v>
      </c>
      <c r="AU7" s="85">
        <f t="shared" si="10"/>
        <v>8.5982631957032201</v>
      </c>
      <c r="AV7" s="85">
        <f t="shared" si="10"/>
        <v>0.19880377331105706</v>
      </c>
      <c r="AW7" s="85">
        <f t="shared" si="10"/>
        <v>6.1231562179805579</v>
      </c>
      <c r="AX7" s="85">
        <f t="shared" si="10"/>
        <v>8.2006556490811029</v>
      </c>
      <c r="AY7" s="85">
        <f t="shared" si="10"/>
        <v>2.6739107510337177</v>
      </c>
      <c r="AZ7" s="85">
        <f t="shared" si="10"/>
        <v>0.99401886655528549</v>
      </c>
      <c r="BA7" s="85">
        <f t="shared" si="10"/>
        <v>0</v>
      </c>
      <c r="BB7" s="85">
        <f t="shared" si="11"/>
        <v>99.391946466862976</v>
      </c>
      <c r="BC7" s="85">
        <f t="shared" si="12"/>
        <v>1.1912674707462343</v>
      </c>
      <c r="BD7" s="85">
        <f t="shared" si="12"/>
        <v>7.5250492580940005</v>
      </c>
      <c r="BE7" s="85">
        <f t="shared" si="13"/>
        <v>99.999999999999986</v>
      </c>
      <c r="BF7" s="84">
        <f t="shared" si="14"/>
        <v>55.309842871235197</v>
      </c>
      <c r="BG7" s="85">
        <f t="shared" si="14"/>
        <v>1.0688374909196616</v>
      </c>
      <c r="BH7" s="85">
        <f t="shared" si="14"/>
        <v>16.581964812398493</v>
      </c>
      <c r="BI7" s="85">
        <f t="shared" si="15"/>
        <v>1.1971334245264136</v>
      </c>
      <c r="BJ7" s="85">
        <f t="shared" si="15"/>
        <v>7.5621035655652697</v>
      </c>
      <c r="BK7" s="85">
        <f t="shared" si="16"/>
        <v>0.19978270858311431</v>
      </c>
      <c r="BL7" s="85">
        <f t="shared" si="16"/>
        <v>6.1533074243599213</v>
      </c>
      <c r="BM7" s="85">
        <f t="shared" si="16"/>
        <v>8.2410367290534641</v>
      </c>
      <c r="BN7" s="85">
        <f t="shared" si="16"/>
        <v>2.6870774304428875</v>
      </c>
      <c r="BO7" s="85">
        <f t="shared" si="16"/>
        <v>0.99891354291557166</v>
      </c>
      <c r="BP7" s="85">
        <f t="shared" si="16"/>
        <v>0</v>
      </c>
      <c r="BQ7" s="85">
        <f t="shared" si="17"/>
        <v>99.999999999999986</v>
      </c>
      <c r="BR7" s="85"/>
      <c r="BS7" s="82">
        <f>AR7/Weights!$B$5*2+AS7/Weights!$B$7*2+AT7/Weights!$B$8*3+'Data and calc.'!BC7/Weights!$B$20*3+'Data and calc.'!BD7/Weights!$B$10+'Data and calc.'!AV7/Weights!$B$11+'Data and calc.'!AW7/Weights!$B$13+'Data and calc.'!AX7/Weights!$B$14+'Data and calc.'!AY7/Weights!$B$15+AZ7/Weights!$B$16+B7/Weights!$B$19+'Data and calc.'!BA7/Weights!$B$6*5</f>
        <v>2.8532155364690812</v>
      </c>
      <c r="BT7" s="84">
        <f>AR7/Weights!$B$5*8/'Data and calc.'!$BS7</f>
        <v>2.5684608389051089</v>
      </c>
      <c r="BU7" s="85">
        <f>AS7/Weights!$B$7*8/'Data and calc.'!$BS7</f>
        <v>3.7340258133317858E-2</v>
      </c>
      <c r="BV7" s="85">
        <f>AT7/Weights!$B$8*8/'Data and calc.'!$BS7*2</f>
        <v>0.90752367424886426</v>
      </c>
      <c r="BW7" s="85">
        <f>BC7/Weights!$B$20*8/'Data and calc.'!$BS7*2</f>
        <v>4.1833588815621471E-2</v>
      </c>
      <c r="BX7" s="85">
        <f>BD7/Weights!$B$10*8/'Data and calc.'!$BS7</f>
        <v>0.29367991765103041</v>
      </c>
      <c r="BY7" s="85">
        <f>AV7/Weights!$B$11*8/'Data and calc.'!$BS7</f>
        <v>7.8579080531135364E-3</v>
      </c>
      <c r="BZ7" s="85">
        <f>AW7/Weights!$B$13*8/'Data and calc.'!$BS7</f>
        <v>0.42597351366612279</v>
      </c>
      <c r="CA7" s="85">
        <f>AX7/Weights!$B$14*8/'Data and calc.'!$BS7</f>
        <v>0.41003337792867578</v>
      </c>
      <c r="CB7" s="85">
        <f>AY7/Weights!$B$15*8/'Data and calc.'!$BS7*2</f>
        <v>0.24193069799424299</v>
      </c>
      <c r="CC7" s="85">
        <f>AZ7/Weights!$B$16*8/'Data and calc.'!$BS7*2</f>
        <v>5.9176518787678975E-2</v>
      </c>
      <c r="CD7" s="85">
        <f>BA7/Weights!$B$6*8/'Data and calc.'!$BS7*2</f>
        <v>0</v>
      </c>
      <c r="CE7" s="85">
        <f>B7/Weights!$B$19*8/'Data and calc.'!$BS7*2</f>
        <v>0.15252717127302681</v>
      </c>
      <c r="CF7" s="85">
        <f t="shared" si="18"/>
        <v>14.22063344041165</v>
      </c>
      <c r="CG7" s="85">
        <f t="shared" si="19"/>
        <v>0.50050275665831168</v>
      </c>
      <c r="CH7" s="85">
        <f t="shared" si="20"/>
        <v>3.0543244994843542E-2</v>
      </c>
      <c r="CI7" s="85">
        <f>AR7/Weights!$B$5*2+AS7/Weights!$B$7*2+AT7/Weights!$B$8*3+'Data and calc.'!BC7/Weights!$B$20*3+'Data and calc.'!BD7/Weights!$B$10+'Data and calc.'!AV7/Weights!$B$11+'Data and calc.'!AW7/Weights!$B$13+'Data and calc.'!AX7/Weights!$B$14+'Data and calc.'!AY7/Weights!$B$15+AZ7/Weights!$B$16+'Data and calc.'!BA7/Weights!$B$6*5</f>
        <v>2.8260159805434637</v>
      </c>
      <c r="CJ7" s="84">
        <f>AR7/Weights!$B$5*8/'Data and calc.'!$CI7</f>
        <v>2.5931815038665018</v>
      </c>
      <c r="CK7" s="85">
        <f>AS7/Weights!$B$7*8/'Data and calc.'!$CI7</f>
        <v>3.7699646914685921E-2</v>
      </c>
      <c r="CL7" s="85">
        <f>AT7/Weights!$B$8*8/'Data and calc.'!$CI7*2</f>
        <v>0.91625831732997198</v>
      </c>
      <c r="CM7" s="85">
        <f>BC7/Weights!$B$20*8/'Data and calc.'!$CI7*2</f>
        <v>4.223622455667661E-2</v>
      </c>
      <c r="CN7" s="85">
        <f>BD7/Weights!$B$10*8/'Data and calc.'!$CI7</f>
        <v>0.29650649874589169</v>
      </c>
      <c r="CO7" s="85">
        <f>AV7/Weights!$B$11*8/'Data and calc.'!$CI7</f>
        <v>7.9335380605234443E-3</v>
      </c>
      <c r="CP7" s="85">
        <f>AW7/Weights!$B$13*8/'Data and calc.'!$CI7</f>
        <v>0.43007338093069691</v>
      </c>
      <c r="CQ7" s="85">
        <f>AX7/Weights!$B$14*8/'Data and calc.'!$CI7</f>
        <v>0.41397982616928203</v>
      </c>
      <c r="CR7" s="85">
        <f>AY7/Weights!$B$15*8/'Data and calc.'!$CI7*2</f>
        <v>0.24425920837618098</v>
      </c>
      <c r="CS7" s="85">
        <f>AZ7/Weights!$B$16*8/'Data and calc.'!$CI7*2</f>
        <v>5.9746075026330989E-2</v>
      </c>
      <c r="CT7" s="85">
        <f>BA7/Weights!$B$6*8/'Data and calc.'!$CI7*2</f>
        <v>0</v>
      </c>
      <c r="CU7" s="85">
        <f t="shared" si="21"/>
        <v>7.9999999999999982</v>
      </c>
      <c r="CV7" s="85">
        <f t="shared" si="22"/>
        <v>14.357502770671346</v>
      </c>
      <c r="CW7" s="85">
        <f t="shared" si="23"/>
        <v>0.45759969698458991</v>
      </c>
      <c r="CX7" s="113"/>
      <c r="CY7" s="90">
        <f t="shared" si="38"/>
        <v>3.598244598963156E-3</v>
      </c>
      <c r="CZ7" s="91">
        <f t="shared" si="24"/>
        <v>0.35853436555192575</v>
      </c>
      <c r="DA7" s="85">
        <f t="shared" si="25"/>
        <v>-0.13146563444807424</v>
      </c>
      <c r="DB7" s="85">
        <f t="shared" si="26"/>
        <v>0.13146563444807424</v>
      </c>
      <c r="DC7" s="85">
        <f t="shared" si="27"/>
        <v>1.7283213040834685E-2</v>
      </c>
      <c r="DD7" s="117"/>
      <c r="DE7" s="97"/>
      <c r="DF7" s="91">
        <f t="shared" si="39"/>
        <v>0.34472552521820471</v>
      </c>
      <c r="DG7" s="85">
        <f t="shared" si="28"/>
        <v>-0.14527447478179528</v>
      </c>
      <c r="DH7" s="85">
        <f t="shared" si="29"/>
        <v>0.14527447478179528</v>
      </c>
      <c r="DI7" s="85">
        <f t="shared" si="30"/>
        <v>2.1104673023126474E-2</v>
      </c>
      <c r="DK7" s="117"/>
      <c r="DL7" s="99">
        <f>'Eq. 3 coef.'!$B$15+'Eq. 3 coef.'!$B$16*'Data and calc.'!G7^2+'Eq. 3 coef.'!$B$17*'Data and calc.'!G7+'Eq. 3 coef.'!$B$18*'Data and calc.'!BF7+'Eq. 3 coef.'!$B$19*'Data and calc.'!BG7+'Eq. 3 coef.'!$B$20*'Data and calc.'!BH7+'Eq. 3 coef.'!$B$21*'Data and calc.'!BI7+'Eq. 3 coef.'!$B$22*'Data and calc.'!BJ7+'Eq. 3 coef.'!$B$23*'Data and calc.'!BK7+'Eq. 3 coef.'!$B$24*'Data and calc.'!BL7+'Eq. 3 coef.'!$B$25*'Data and calc.'!BM7+'Eq. 3 coef.'!$B$26*'Data and calc.'!BN7+'Eq. 3 coef.'!$B$27*'Data and calc.'!BO7+'Eq. 3 coef.'!$B$28*'Data and calc.'!BP7</f>
        <v>0.38314384084878839</v>
      </c>
      <c r="DM7" s="85">
        <f t="shared" si="31"/>
        <v>-0.1068561591512116</v>
      </c>
      <c r="DN7" s="85">
        <f t="shared" si="32"/>
        <v>0.1068561591512116</v>
      </c>
      <c r="DO7" s="85">
        <f t="shared" si="33"/>
        <v>1.1418238748549064E-2</v>
      </c>
      <c r="DP7" s="117"/>
      <c r="DQ7" s="99">
        <f>'Eq. 4 coef.'!$B$15+'Eq. 4 coef.'!$B$16*'Data and calc.'!G7^2+'Eq. 4 coef.'!$B$17*'Data and calc.'!G7+'Eq. 4 coef.'!$B$18*'Data and calc.'!O7+'Eq. 4 coef.'!$B$19*'Data and calc.'!P7+'Eq. 4 coef.'!$B$20*'Data and calc.'!Q7+'Eq. 4 coef.'!$B$21*'Data and calc.'!R7+'Eq. 4 coef.'!$B$22*'Data and calc.'!S7+'Eq. 4 coef.'!$B$23*'Data and calc.'!T7+'Eq. 4 coef.'!$B$24*'Data and calc.'!U7+'Eq. 4 coef.'!$B$25*'Data and calc.'!V7+'Eq. 4 coef.'!$B$26*'Data and calc.'!W7+'Eq. 4 coef.'!$B$27*'Data and calc.'!X7</f>
        <v>0.38776657504604373</v>
      </c>
      <c r="DR7" s="85">
        <f t="shared" si="34"/>
        <v>-0.10223342495395626</v>
      </c>
      <c r="DS7" s="85">
        <f t="shared" si="35"/>
        <v>0.10223342495395626</v>
      </c>
      <c r="DT7" s="85">
        <f t="shared" si="36"/>
        <v>1.0451673177816208E-2</v>
      </c>
    </row>
    <row r="8" spans="1:124" ht="15" x14ac:dyDescent="0.2">
      <c r="A8" s="66" t="s">
        <v>490</v>
      </c>
      <c r="B8" s="73">
        <v>5.56</v>
      </c>
      <c r="C8" s="73">
        <v>0.14000000000000001</v>
      </c>
      <c r="D8" s="126">
        <f t="shared" si="0"/>
        <v>2.5179856115107917</v>
      </c>
      <c r="E8" s="72">
        <f t="shared" si="1"/>
        <v>5.8873358746293944E-2</v>
      </c>
      <c r="F8" s="64">
        <f t="shared" si="37"/>
        <v>56.860268896271982</v>
      </c>
      <c r="G8" s="73">
        <v>7.5405748385830629</v>
      </c>
      <c r="H8" s="73">
        <v>0.109683943765713</v>
      </c>
      <c r="I8" s="126">
        <f t="shared" si="2"/>
        <v>1.4545833190924677</v>
      </c>
      <c r="J8" s="74">
        <v>1250</v>
      </c>
      <c r="K8" s="74">
        <v>200</v>
      </c>
      <c r="L8" s="73">
        <v>1</v>
      </c>
      <c r="M8" s="70">
        <v>2.2999999999999998</v>
      </c>
      <c r="N8" s="64">
        <f t="shared" si="3"/>
        <v>2.2999999999999998</v>
      </c>
      <c r="O8" s="76">
        <v>54.894409798710605</v>
      </c>
      <c r="P8" s="73">
        <v>0.29559775889424644</v>
      </c>
      <c r="Q8" s="73">
        <v>14.541993726061168</v>
      </c>
      <c r="R8" s="73">
        <v>7.3186478796613974</v>
      </c>
      <c r="S8" s="73">
        <v>0.10797427369019071</v>
      </c>
      <c r="T8" s="73">
        <v>13.580916467845149</v>
      </c>
      <c r="U8" s="73">
        <v>6.0681863208343287</v>
      </c>
      <c r="V8" s="73">
        <v>2.5402516881617192</v>
      </c>
      <c r="W8" s="73">
        <v>0.60856999213226237</v>
      </c>
      <c r="X8" s="73">
        <v>4.3452094008938937E-2</v>
      </c>
      <c r="Y8" s="73">
        <f t="shared" si="4"/>
        <v>100.00000000000001</v>
      </c>
      <c r="Z8" s="73">
        <v>3.1488216802939815</v>
      </c>
      <c r="AA8" s="73">
        <v>1.3537763287221678</v>
      </c>
      <c r="AB8" s="59">
        <f t="shared" si="5"/>
        <v>4.4637459488026723</v>
      </c>
      <c r="AC8" s="60">
        <f t="shared" si="6"/>
        <v>3.2972551329923241</v>
      </c>
      <c r="AD8" s="57">
        <f t="shared" si="7"/>
        <v>100.44235320213359</v>
      </c>
      <c r="AE8" s="57"/>
      <c r="AF8" s="57">
        <f t="shared" si="8"/>
        <v>51.842280613902297</v>
      </c>
      <c r="AG8" s="57">
        <f t="shared" si="8"/>
        <v>0.27916252349972637</v>
      </c>
      <c r="AH8" s="57">
        <f t="shared" si="8"/>
        <v>13.733458874892166</v>
      </c>
      <c r="AI8" s="57">
        <f t="shared" si="8"/>
        <v>6.9117310575522231</v>
      </c>
      <c r="AJ8" s="57">
        <f t="shared" si="8"/>
        <v>0.10197090407301611</v>
      </c>
      <c r="AK8" s="57">
        <f t="shared" si="8"/>
        <v>12.825817512232959</v>
      </c>
      <c r="AL8" s="57">
        <f t="shared" si="8"/>
        <v>5.7307951613959407</v>
      </c>
      <c r="AM8" s="57">
        <f t="shared" si="8"/>
        <v>2.3990136942999278</v>
      </c>
      <c r="AN8" s="57">
        <f t="shared" si="8"/>
        <v>0.57473350056970862</v>
      </c>
      <c r="AO8" s="57">
        <f t="shared" si="8"/>
        <v>4.1036157582041932E-2</v>
      </c>
      <c r="AP8" s="57">
        <f t="shared" si="9"/>
        <v>94.44</v>
      </c>
      <c r="AQ8" s="57"/>
      <c r="AR8" s="84">
        <f t="shared" si="10"/>
        <v>51.61396458879566</v>
      </c>
      <c r="AS8" s="85">
        <f t="shared" si="10"/>
        <v>0.27793307763103703</v>
      </c>
      <c r="AT8" s="85">
        <f t="shared" si="10"/>
        <v>13.672976027607088</v>
      </c>
      <c r="AU8" s="85">
        <f t="shared" si="10"/>
        <v>6.8812914444993352</v>
      </c>
      <c r="AV8" s="85">
        <f t="shared" si="10"/>
        <v>0.10152181905555957</v>
      </c>
      <c r="AW8" s="85">
        <f t="shared" si="10"/>
        <v>12.769331963401783</v>
      </c>
      <c r="AX8" s="85">
        <f t="shared" si="10"/>
        <v>5.7055564497409721</v>
      </c>
      <c r="AY8" s="85">
        <f t="shared" si="10"/>
        <v>2.388448316689745</v>
      </c>
      <c r="AZ8" s="85">
        <f t="shared" si="10"/>
        <v>0.57220234517315161</v>
      </c>
      <c r="BA8" s="85">
        <f t="shared" si="10"/>
        <v>4.0855432269153807E-2</v>
      </c>
      <c r="BB8" s="85">
        <f t="shared" si="11"/>
        <v>94.024081464863499</v>
      </c>
      <c r="BC8" s="85">
        <f t="shared" si="12"/>
        <v>4.1969961272867673</v>
      </c>
      <c r="BD8" s="85">
        <f t="shared" si="12"/>
        <v>3.1002138523490954</v>
      </c>
      <c r="BE8" s="85">
        <f t="shared" si="13"/>
        <v>100.00000000000003</v>
      </c>
      <c r="BF8" s="84">
        <f t="shared" si="14"/>
        <v>54.65265204235034</v>
      </c>
      <c r="BG8" s="85">
        <f t="shared" si="14"/>
        <v>0.29429593141787064</v>
      </c>
      <c r="BH8" s="85">
        <f t="shared" si="14"/>
        <v>14.477950050409877</v>
      </c>
      <c r="BI8" s="85">
        <f t="shared" si="15"/>
        <v>4.4440873859453278</v>
      </c>
      <c r="BJ8" s="85">
        <f t="shared" si="15"/>
        <v>3.2827338546686735</v>
      </c>
      <c r="BK8" s="85">
        <f t="shared" si="16"/>
        <v>0.10749874952939387</v>
      </c>
      <c r="BL8" s="85">
        <f t="shared" si="16"/>
        <v>13.521105425033655</v>
      </c>
      <c r="BM8" s="85">
        <f t="shared" si="16"/>
        <v>6.0414617214538033</v>
      </c>
      <c r="BN8" s="85">
        <f t="shared" si="16"/>
        <v>2.5290642912852022</v>
      </c>
      <c r="BO8" s="85">
        <f t="shared" si="16"/>
        <v>0.60588981911600126</v>
      </c>
      <c r="BP8" s="85">
        <f t="shared" si="16"/>
        <v>4.3260728789870619E-2</v>
      </c>
      <c r="BQ8" s="85">
        <f t="shared" si="17"/>
        <v>100.00000000000001</v>
      </c>
      <c r="BR8" s="85"/>
      <c r="BS8" s="82">
        <f>AR8/Weights!$B$5*2+AS8/Weights!$B$7*2+AT8/Weights!$B$8*3+'Data and calc.'!BC8/Weights!$B$20*3+'Data and calc.'!BD8/Weights!$B$10+'Data and calc.'!AV8/Weights!$B$11+'Data and calc.'!AW8/Weights!$B$13+'Data and calc.'!AX8/Weights!$B$14+'Data and calc.'!AY8/Weights!$B$15+AZ8/Weights!$B$16+B8/Weights!$B$19+'Data and calc.'!BA8/Weights!$B$6*5</f>
        <v>3.0240364105122808</v>
      </c>
      <c r="BT8" s="84">
        <f>AR8/Weights!$B$5*8/'Data and calc.'!$BS8</f>
        <v>2.272576865567451</v>
      </c>
      <c r="BU8" s="85">
        <f>AS8/Weights!$B$7*8/'Data and calc.'!$BS8</f>
        <v>9.2063336779759711E-3</v>
      </c>
      <c r="BV8" s="85">
        <f>AT8/Weights!$B$8*8/'Data and calc.'!$BS8*2</f>
        <v>0.70952199712438724</v>
      </c>
      <c r="BW8" s="85">
        <f>BC8/Weights!$B$20*8/'Data and calc.'!$BS8*2</f>
        <v>0.13905991936366519</v>
      </c>
      <c r="BX8" s="85">
        <f>BD8/Weights!$B$10*8/'Data and calc.'!$BS8</f>
        <v>0.11415741324870683</v>
      </c>
      <c r="BY8" s="85">
        <f>AV8/Weights!$B$11*8/'Data and calc.'!$BS8</f>
        <v>3.7860755394720684E-3</v>
      </c>
      <c r="BZ8" s="85">
        <f>AW8/Weights!$B$13*8/'Data and calc.'!$BS8</f>
        <v>0.83815241045969835</v>
      </c>
      <c r="CA8" s="85">
        <f>AX8/Weights!$B$14*8/'Data and calc.'!$BS8</f>
        <v>0.26916352414993278</v>
      </c>
      <c r="CB8" s="85">
        <f>AY8/Weights!$B$15*8/'Data and calc.'!$BS8*2</f>
        <v>0.20389542601114408</v>
      </c>
      <c r="CC8" s="85">
        <f>AZ8/Weights!$B$16*8/'Data and calc.'!$BS8*2</f>
        <v>3.2140452243129634E-2</v>
      </c>
      <c r="CD8" s="85">
        <f>BA8/Weights!$B$6*8/'Data and calc.'!$BS8*2</f>
        <v>1.522890918047559E-3</v>
      </c>
      <c r="CE8" s="85">
        <f>B8/Weights!$B$19*8/'Data and calc.'!$BS8*2</f>
        <v>1.6329522739140028</v>
      </c>
      <c r="CF8" s="85">
        <f t="shared" si="18"/>
        <v>12.521460462933918</v>
      </c>
      <c r="CG8" s="85">
        <f t="shared" si="19"/>
        <v>1.1112248598678309</v>
      </c>
      <c r="CH8" s="85">
        <f t="shared" si="20"/>
        <v>0.35551646087408112</v>
      </c>
      <c r="CI8" s="85">
        <f>AR8/Weights!$B$5*2+AS8/Weights!$B$7*2+AT8/Weights!$B$8*3+'Data and calc.'!BC8/Weights!$B$20*3+'Data and calc.'!BD8/Weights!$B$10+'Data and calc.'!AV8/Weights!$B$11+'Data and calc.'!AW8/Weights!$B$13+'Data and calc.'!AX8/Weights!$B$14+'Data and calc.'!AY8/Weights!$B$15+AZ8/Weights!$B$16+'Data and calc.'!BA8/Weights!$B$6*5</f>
        <v>2.715404714703233</v>
      </c>
      <c r="CJ8" s="84">
        <f>AR8/Weights!$B$5*8/'Data and calc.'!$CI8</f>
        <v>2.5308769444023471</v>
      </c>
      <c r="CK8" s="85">
        <f>AS8/Weights!$B$7*8/'Data and calc.'!$CI8</f>
        <v>1.0252721481544399E-2</v>
      </c>
      <c r="CL8" s="85">
        <f>AT8/Weights!$B$8*8/'Data and calc.'!$CI8*2</f>
        <v>0.7901659527014675</v>
      </c>
      <c r="CM8" s="85">
        <f>BC8/Weights!$B$20*8/'Data and calc.'!$CI8*2</f>
        <v>0.15486540813662253</v>
      </c>
      <c r="CN8" s="85">
        <f>BD8/Weights!$B$10*8/'Data and calc.'!$CI8</f>
        <v>0.12713249421890144</v>
      </c>
      <c r="CO8" s="85">
        <f>AV8/Weights!$B$11*8/'Data and calc.'!$CI8</f>
        <v>4.2163992064677362E-3</v>
      </c>
      <c r="CP8" s="85">
        <f>AW8/Weights!$B$13*8/'Data and calc.'!$CI8</f>
        <v>0.93341644177920235</v>
      </c>
      <c r="CQ8" s="85">
        <f>AX8/Weights!$B$14*8/'Data and calc.'!$CI8</f>
        <v>0.29975653095238741</v>
      </c>
      <c r="CR8" s="85">
        <f>AY8/Weights!$B$15*8/'Data and calc.'!$CI8*2</f>
        <v>0.22707008972030873</v>
      </c>
      <c r="CS8" s="85">
        <f>AZ8/Weights!$B$16*8/'Data and calc.'!$CI8*2</f>
        <v>3.5793521793371953E-2</v>
      </c>
      <c r="CT8" s="85">
        <f>BA8/Weights!$B$6*8/'Data and calc.'!$CI8*2</f>
        <v>1.695982024512911E-3</v>
      </c>
      <c r="CU8" s="85">
        <f t="shared" si="21"/>
        <v>7.9999999999999982</v>
      </c>
      <c r="CV8" s="85">
        <f t="shared" si="22"/>
        <v>13.944644106887925</v>
      </c>
      <c r="CW8" s="85">
        <f t="shared" si="23"/>
        <v>0.5895757187798969</v>
      </c>
      <c r="CX8" s="113"/>
      <c r="CY8" s="90">
        <f t="shared" si="38"/>
        <v>6.1254349360200168E-2</v>
      </c>
      <c r="CZ8" s="91">
        <f t="shared" si="24"/>
        <v>5.7718820560903854</v>
      </c>
      <c r="DA8" s="85">
        <f t="shared" si="25"/>
        <v>0.2118820560903858</v>
      </c>
      <c r="DB8" s="85">
        <f t="shared" si="26"/>
        <v>0.2118820560903858</v>
      </c>
      <c r="DC8" s="85">
        <f t="shared" si="27"/>
        <v>4.4894005693089392E-2</v>
      </c>
      <c r="DD8" s="117"/>
      <c r="DE8" s="97"/>
      <c r="DF8" s="91">
        <f t="shared" si="39"/>
        <v>5.7701409166204067</v>
      </c>
      <c r="DG8" s="85">
        <f t="shared" si="28"/>
        <v>0.21014091662040713</v>
      </c>
      <c r="DH8" s="85">
        <f t="shared" si="29"/>
        <v>0.21014091662040713</v>
      </c>
      <c r="DI8" s="85">
        <f t="shared" si="30"/>
        <v>4.4159204838064903E-2</v>
      </c>
      <c r="DK8" s="117"/>
      <c r="DL8" s="99">
        <f>'Eq. 3 coef.'!$B$15+'Eq. 3 coef.'!$B$16*'Data and calc.'!G8^2+'Eq. 3 coef.'!$B$17*'Data and calc.'!G8+'Eq. 3 coef.'!$B$18*'Data and calc.'!BF8+'Eq. 3 coef.'!$B$19*'Data and calc.'!BG8+'Eq. 3 coef.'!$B$20*'Data and calc.'!BH8+'Eq. 3 coef.'!$B$21*'Data and calc.'!BI8+'Eq. 3 coef.'!$B$22*'Data and calc.'!BJ8+'Eq. 3 coef.'!$B$23*'Data and calc.'!BK8+'Eq. 3 coef.'!$B$24*'Data and calc.'!BL8+'Eq. 3 coef.'!$B$25*'Data and calc.'!BM8+'Eq. 3 coef.'!$B$26*'Data and calc.'!BN8+'Eq. 3 coef.'!$B$27*'Data and calc.'!BO8+'Eq. 3 coef.'!$B$28*'Data and calc.'!BP8</f>
        <v>5.4617000472951531</v>
      </c>
      <c r="DM8" s="85">
        <f t="shared" si="31"/>
        <v>-9.8299952704846483E-2</v>
      </c>
      <c r="DN8" s="85">
        <f t="shared" si="32"/>
        <v>9.8299952704846483E-2</v>
      </c>
      <c r="DO8" s="85">
        <f t="shared" si="33"/>
        <v>9.6628807017750552E-3</v>
      </c>
      <c r="DP8" s="117"/>
      <c r="DQ8" s="99">
        <f>'Eq. 4 coef.'!$B$15+'Eq. 4 coef.'!$B$16*'Data and calc.'!G8^2+'Eq. 4 coef.'!$B$17*'Data and calc.'!G8+'Eq. 4 coef.'!$B$18*'Data and calc.'!O8+'Eq. 4 coef.'!$B$19*'Data and calc.'!P8+'Eq. 4 coef.'!$B$20*'Data and calc.'!Q8+'Eq. 4 coef.'!$B$21*'Data and calc.'!R8+'Eq. 4 coef.'!$B$22*'Data and calc.'!S8+'Eq. 4 coef.'!$B$23*'Data and calc.'!T8+'Eq. 4 coef.'!$B$24*'Data and calc.'!U8+'Eq. 4 coef.'!$B$25*'Data and calc.'!V8+'Eq. 4 coef.'!$B$26*'Data and calc.'!W8+'Eq. 4 coef.'!$B$27*'Data and calc.'!X8</f>
        <v>5.3696345834767385</v>
      </c>
      <c r="DR8" s="85">
        <f t="shared" si="34"/>
        <v>-0.19036541652326111</v>
      </c>
      <c r="DS8" s="85">
        <f t="shared" si="35"/>
        <v>0.19036541652326111</v>
      </c>
      <c r="DT8" s="85">
        <f t="shared" si="36"/>
        <v>3.6238991808074696E-2</v>
      </c>
    </row>
    <row r="9" spans="1:124" ht="15" x14ac:dyDescent="0.2">
      <c r="A9" s="66" t="s">
        <v>97</v>
      </c>
      <c r="B9" s="73">
        <v>0.47</v>
      </c>
      <c r="C9" s="73">
        <v>0.02</v>
      </c>
      <c r="D9" s="126">
        <f t="shared" si="0"/>
        <v>4.2553191489361701</v>
      </c>
      <c r="E9" s="72">
        <f t="shared" si="1"/>
        <v>4.7221943132723801E-3</v>
      </c>
      <c r="F9" s="64">
        <f t="shared" si="37"/>
        <v>0.78571550667592616</v>
      </c>
      <c r="G9" s="73">
        <v>0.88640594914290038</v>
      </c>
      <c r="H9" s="73">
        <v>5.3247782366586643E-2</v>
      </c>
      <c r="I9" s="126">
        <f t="shared" si="2"/>
        <v>6.0071553466077194</v>
      </c>
      <c r="J9" s="70">
        <v>1150</v>
      </c>
      <c r="K9" s="70">
        <v>104</v>
      </c>
      <c r="L9" s="73">
        <v>3.5327146640357514E-2</v>
      </c>
      <c r="M9" s="70">
        <v>2.2999999999999998</v>
      </c>
      <c r="N9" s="64">
        <f t="shared" si="3"/>
        <v>-0.60378287788383611</v>
      </c>
      <c r="O9" s="76">
        <v>54.665466546654663</v>
      </c>
      <c r="P9" s="73">
        <v>1.0501050105010501</v>
      </c>
      <c r="Q9" s="73">
        <v>16.5016501650165</v>
      </c>
      <c r="R9" s="73">
        <v>9.140914091409142</v>
      </c>
      <c r="S9" s="73">
        <v>0.24002400240024005</v>
      </c>
      <c r="T9" s="73">
        <v>6.3606360636063615</v>
      </c>
      <c r="U9" s="73">
        <v>8.4008400840084008</v>
      </c>
      <c r="V9" s="73">
        <v>2.6802680268026804</v>
      </c>
      <c r="W9" s="73">
        <v>0.9600960096009602</v>
      </c>
      <c r="X9" s="73">
        <v>0</v>
      </c>
      <c r="Y9" s="73">
        <f t="shared" si="4"/>
        <v>100</v>
      </c>
      <c r="Z9" s="73">
        <v>3.6403640364036405</v>
      </c>
      <c r="AA9" s="73">
        <v>0.24953677766403984</v>
      </c>
      <c r="AB9" s="59">
        <f t="shared" si="5"/>
        <v>1.8623281518169157</v>
      </c>
      <c r="AC9" s="60">
        <f t="shared" si="6"/>
        <v>7.4631409816641732</v>
      </c>
      <c r="AD9" s="57">
        <f t="shared" si="7"/>
        <v>100.18455504207193</v>
      </c>
      <c r="AE9" s="57"/>
      <c r="AF9" s="57">
        <f t="shared" si="8"/>
        <v>54.408538853885382</v>
      </c>
      <c r="AG9" s="57">
        <f t="shared" si="8"/>
        <v>1.045169516951695</v>
      </c>
      <c r="AH9" s="57">
        <f t="shared" si="8"/>
        <v>16.424092409240924</v>
      </c>
      <c r="AI9" s="57">
        <f t="shared" si="8"/>
        <v>9.0979517951795188</v>
      </c>
      <c r="AJ9" s="57">
        <f t="shared" si="8"/>
        <v>0.23889588958895891</v>
      </c>
      <c r="AK9" s="57">
        <f t="shared" si="8"/>
        <v>6.3307410741074115</v>
      </c>
      <c r="AL9" s="57">
        <f t="shared" si="8"/>
        <v>8.3613561356135602</v>
      </c>
      <c r="AM9" s="57">
        <f t="shared" si="8"/>
        <v>2.6676707670767081</v>
      </c>
      <c r="AN9" s="57">
        <f t="shared" si="8"/>
        <v>0.95558355835583564</v>
      </c>
      <c r="AO9" s="57">
        <f t="shared" si="8"/>
        <v>0</v>
      </c>
      <c r="AP9" s="57">
        <f t="shared" si="9"/>
        <v>99.530000000000015</v>
      </c>
      <c r="AQ9" s="57"/>
      <c r="AR9" s="84">
        <f t="shared" si="10"/>
        <v>54.308310129277736</v>
      </c>
      <c r="AS9" s="85">
        <f t="shared" si="10"/>
        <v>1.043244157258354</v>
      </c>
      <c r="AT9" s="85">
        <f t="shared" si="10"/>
        <v>16.39383675691699</v>
      </c>
      <c r="AU9" s="85">
        <f t="shared" si="10"/>
        <v>9.0811919974679594</v>
      </c>
      <c r="AV9" s="85">
        <f t="shared" si="10"/>
        <v>0.23845580737333807</v>
      </c>
      <c r="AW9" s="85">
        <f t="shared" si="10"/>
        <v>6.3190788953934591</v>
      </c>
      <c r="AX9" s="85">
        <f t="shared" si="10"/>
        <v>8.3459532580668316</v>
      </c>
      <c r="AY9" s="85">
        <f t="shared" si="10"/>
        <v>2.6627565156689421</v>
      </c>
      <c r="AZ9" s="85">
        <f t="shared" si="10"/>
        <v>0.9538232294933523</v>
      </c>
      <c r="BA9" s="85">
        <f t="shared" si="10"/>
        <v>0</v>
      </c>
      <c r="BB9" s="85">
        <f t="shared" si="11"/>
        <v>99.346650746916964</v>
      </c>
      <c r="BC9" s="85">
        <f t="shared" si="12"/>
        <v>1.8501606447470649</v>
      </c>
      <c r="BD9" s="85">
        <f t="shared" si="12"/>
        <v>7.4143806058039363</v>
      </c>
      <c r="BE9" s="85">
        <f t="shared" si="13"/>
        <v>100.00000000000001</v>
      </c>
      <c r="BF9" s="84">
        <f t="shared" si="14"/>
        <v>54.564764522533643</v>
      </c>
      <c r="BG9" s="85">
        <f t="shared" si="14"/>
        <v>1.048170558885114</v>
      </c>
      <c r="BH9" s="85">
        <f t="shared" si="14"/>
        <v>16.471251639623219</v>
      </c>
      <c r="BI9" s="85">
        <f t="shared" si="15"/>
        <v>1.8588974628223298</v>
      </c>
      <c r="BJ9" s="85">
        <f t="shared" si="15"/>
        <v>7.4493927517371006</v>
      </c>
      <c r="BK9" s="85">
        <f t="shared" si="16"/>
        <v>0.23958184203088323</v>
      </c>
      <c r="BL9" s="85">
        <f t="shared" si="16"/>
        <v>6.3489188138184049</v>
      </c>
      <c r="BM9" s="85">
        <f t="shared" si="16"/>
        <v>8.3853644710809121</v>
      </c>
      <c r="BN9" s="85">
        <f t="shared" si="16"/>
        <v>2.675330569344863</v>
      </c>
      <c r="BO9" s="85">
        <f t="shared" si="16"/>
        <v>0.95832736812353292</v>
      </c>
      <c r="BP9" s="85">
        <f t="shared" si="16"/>
        <v>0</v>
      </c>
      <c r="BQ9" s="85">
        <f t="shared" si="17"/>
        <v>100</v>
      </c>
      <c r="BR9" s="85"/>
      <c r="BS9" s="82">
        <f>AR9/Weights!$B$5*2+AS9/Weights!$B$7*2+AT9/Weights!$B$8*3+'Data and calc.'!BC9/Weights!$B$20*3+'Data and calc.'!BD9/Weights!$B$10+'Data and calc.'!AV9/Weights!$B$11+'Data and calc.'!AW9/Weights!$B$13+'Data and calc.'!AX9/Weights!$B$14+'Data and calc.'!AY9/Weights!$B$15+AZ9/Weights!$B$16+B9/Weights!$B$19+'Data and calc.'!BA9/Weights!$B$6*5</f>
        <v>2.8423765895278295</v>
      </c>
      <c r="BT9" s="84">
        <f>AR9/Weights!$B$5*8/'Data and calc.'!$BS9</f>
        <v>2.5440348106267616</v>
      </c>
      <c r="BU9" s="85">
        <f>AS9/Weights!$B$7*8/'Data and calc.'!$BS9</f>
        <v>3.6765276334117546E-2</v>
      </c>
      <c r="BV9" s="85">
        <f>AT9/Weights!$B$8*8/'Data and calc.'!$BS9*2</f>
        <v>0.9050838521172857</v>
      </c>
      <c r="BW9" s="85">
        <f>BC9/Weights!$B$20*8/'Data and calc.'!$BS9*2</f>
        <v>6.5219616662417046E-2</v>
      </c>
      <c r="BX9" s="85">
        <f>BD9/Weights!$B$10*8/'Data and calc.'!$BS9</f>
        <v>0.29046428598081125</v>
      </c>
      <c r="BY9" s="85">
        <f>AV9/Weights!$B$11*8/'Data and calc.'!$BS9</f>
        <v>9.4611338371666919E-3</v>
      </c>
      <c r="BZ9" s="85">
        <f>AW9/Weights!$B$13*8/'Data and calc.'!$BS9</f>
        <v>0.44127974849568363</v>
      </c>
      <c r="CA9" s="85">
        <f>AX9/Weights!$B$14*8/'Data and calc.'!$BS9</f>
        <v>0.41888956890337181</v>
      </c>
      <c r="CB9" s="85">
        <f>AY9/Weights!$B$15*8/'Data and calc.'!$BS9*2</f>
        <v>0.24184019798706391</v>
      </c>
      <c r="CC9" s="85">
        <f>AZ9/Weights!$B$16*8/'Data and calc.'!$BS9*2</f>
        <v>5.7000103384615197E-2</v>
      </c>
      <c r="CD9" s="85">
        <f>BA9/Weights!$B$6*8/'Data and calc.'!$BS9*2</f>
        <v>0</v>
      </c>
      <c r="CE9" s="85">
        <f>B9/Weights!$B$19*8/'Data and calc.'!$BS9*2</f>
        <v>0.14685947001162886</v>
      </c>
      <c r="CF9" s="85">
        <f t="shared" si="18"/>
        <v>14.204414222962328</v>
      </c>
      <c r="CG9" s="85">
        <f t="shared" si="19"/>
        <v>0.50564162628684683</v>
      </c>
      <c r="CH9" s="85">
        <f t="shared" si="20"/>
        <v>2.9313041655578163E-2</v>
      </c>
      <c r="CI9" s="85">
        <f>AR9/Weights!$B$5*2+AS9/Weights!$B$7*2+AT9/Weights!$B$8*3+'Data and calc.'!BC9/Weights!$B$20*3+'Data and calc.'!BD9/Weights!$B$10+'Data and calc.'!AV9/Weights!$B$11+'Data and calc.'!AW9/Weights!$B$13+'Data and calc.'!AX9/Weights!$B$14+'Data and calc.'!AY9/Weights!$B$15+AZ9/Weights!$B$16+'Data and calc.'!BA9/Weights!$B$6*5</f>
        <v>2.8162872195583595</v>
      </c>
      <c r="CJ9" s="84">
        <f>AR9/Weights!$B$5*8/'Data and calc.'!$CI9</f>
        <v>2.567602103383237</v>
      </c>
      <c r="CK9" s="85">
        <f>AS9/Weights!$B$7*8/'Data and calc.'!$CI9</f>
        <v>3.7105860522281785E-2</v>
      </c>
      <c r="CL9" s="85">
        <f>AT9/Weights!$B$8*8/'Data and calc.'!$CI9*2</f>
        <v>0.91346831919411453</v>
      </c>
      <c r="CM9" s="85">
        <f>BC9/Weights!$B$20*8/'Data and calc.'!$CI9*2</f>
        <v>6.5823794637076757E-2</v>
      </c>
      <c r="CN9" s="85">
        <f>BD9/Weights!$B$10*8/'Data and calc.'!$CI9</f>
        <v>0.29315507340023489</v>
      </c>
      <c r="CO9" s="85">
        <f>AV9/Weights!$B$11*8/'Data and calc.'!$CI9</f>
        <v>9.5487793796008268E-3</v>
      </c>
      <c r="CP9" s="85">
        <f>AW9/Weights!$B$13*8/'Data and calc.'!$CI9</f>
        <v>0.44536765207973067</v>
      </c>
      <c r="CQ9" s="85">
        <f>AX9/Weights!$B$14*8/'Data and calc.'!$CI9</f>
        <v>0.42277005554677094</v>
      </c>
      <c r="CR9" s="85">
        <f>AY9/Weights!$B$15*8/'Data and calc.'!$CI9*2</f>
        <v>0.24408054419712263</v>
      </c>
      <c r="CS9" s="85">
        <f>AZ9/Weights!$B$16*8/'Data and calc.'!$CI9*2</f>
        <v>5.7528137874553499E-2</v>
      </c>
      <c r="CT9" s="85">
        <f>BA9/Weights!$B$6*8/'Data and calc.'!$CI9*2</f>
        <v>0</v>
      </c>
      <c r="CU9" s="85">
        <f t="shared" si="21"/>
        <v>8</v>
      </c>
      <c r="CV9" s="85">
        <f t="shared" si="22"/>
        <v>14.33600031094684</v>
      </c>
      <c r="CW9" s="85">
        <f t="shared" si="23"/>
        <v>0.4642856174556706</v>
      </c>
      <c r="CX9" s="113"/>
      <c r="CY9" s="90">
        <f t="shared" si="38"/>
        <v>3.9619552221203721E-3</v>
      </c>
      <c r="CZ9" s="91">
        <f t="shared" si="24"/>
        <v>0.39463200786765007</v>
      </c>
      <c r="DA9" s="85">
        <f t="shared" si="25"/>
        <v>-7.5367992132349904E-2</v>
      </c>
      <c r="DB9" s="85">
        <f t="shared" si="26"/>
        <v>7.5367992132349904E-2</v>
      </c>
      <c r="DC9" s="85">
        <f t="shared" si="27"/>
        <v>5.6803342380619569E-3</v>
      </c>
      <c r="DD9" s="117"/>
      <c r="DE9" s="97"/>
      <c r="DF9" s="91">
        <f t="shared" si="39"/>
        <v>0.38137073495172419</v>
      </c>
      <c r="DG9" s="85">
        <f t="shared" si="28"/>
        <v>-8.8629265048275785E-2</v>
      </c>
      <c r="DH9" s="85">
        <f t="shared" si="29"/>
        <v>8.8629265048275785E-2</v>
      </c>
      <c r="DI9" s="85">
        <f t="shared" si="30"/>
        <v>7.8551466229975202E-3</v>
      </c>
      <c r="DK9" s="117"/>
      <c r="DL9" s="99">
        <f>'Eq. 3 coef.'!$B$15+'Eq. 3 coef.'!$B$16*'Data and calc.'!G9^2+'Eq. 3 coef.'!$B$17*'Data and calc.'!G9+'Eq. 3 coef.'!$B$18*'Data and calc.'!BF9+'Eq. 3 coef.'!$B$19*'Data and calc.'!BG9+'Eq. 3 coef.'!$B$20*'Data and calc.'!BH9+'Eq. 3 coef.'!$B$21*'Data and calc.'!BI9+'Eq. 3 coef.'!$B$22*'Data and calc.'!BJ9+'Eq. 3 coef.'!$B$23*'Data and calc.'!BK9+'Eq. 3 coef.'!$B$24*'Data and calc.'!BL9+'Eq. 3 coef.'!$B$25*'Data and calc.'!BM9+'Eq. 3 coef.'!$B$26*'Data and calc.'!BN9+'Eq. 3 coef.'!$B$27*'Data and calc.'!BO9+'Eq. 3 coef.'!$B$28*'Data and calc.'!BP9</f>
        <v>0.50427310679515358</v>
      </c>
      <c r="DM9" s="85">
        <f t="shared" si="31"/>
        <v>3.4273106795153607E-2</v>
      </c>
      <c r="DN9" s="85">
        <f t="shared" si="32"/>
        <v>3.4273106795153607E-2</v>
      </c>
      <c r="DO9" s="85">
        <f t="shared" si="33"/>
        <v>1.1746458493920044E-3</v>
      </c>
      <c r="DP9" s="117"/>
      <c r="DQ9" s="99">
        <f>'Eq. 4 coef.'!$B$15+'Eq. 4 coef.'!$B$16*'Data and calc.'!G9^2+'Eq. 4 coef.'!$B$17*'Data and calc.'!G9+'Eq. 4 coef.'!$B$18*'Data and calc.'!O9+'Eq. 4 coef.'!$B$19*'Data and calc.'!P9+'Eq. 4 coef.'!$B$20*'Data and calc.'!Q9+'Eq. 4 coef.'!$B$21*'Data and calc.'!R9+'Eq. 4 coef.'!$B$22*'Data and calc.'!S9+'Eq. 4 coef.'!$B$23*'Data and calc.'!T9+'Eq. 4 coef.'!$B$24*'Data and calc.'!U9+'Eq. 4 coef.'!$B$25*'Data and calc.'!V9+'Eq. 4 coef.'!$B$26*'Data and calc.'!W9+'Eq. 4 coef.'!$B$27*'Data and calc.'!X9</f>
        <v>0.49709356843504793</v>
      </c>
      <c r="DR9" s="85">
        <f t="shared" si="34"/>
        <v>2.7093568435047954E-2</v>
      </c>
      <c r="DS9" s="85">
        <f t="shared" si="35"/>
        <v>2.7093568435047954E-2</v>
      </c>
      <c r="DT9" s="85">
        <f t="shared" si="36"/>
        <v>7.3406145054462683E-4</v>
      </c>
    </row>
    <row r="10" spans="1:124" ht="15" x14ac:dyDescent="0.2">
      <c r="A10" s="66" t="s">
        <v>98</v>
      </c>
      <c r="B10" s="73">
        <v>0.86</v>
      </c>
      <c r="C10" s="73">
        <v>0.02</v>
      </c>
      <c r="D10" s="126">
        <f t="shared" si="0"/>
        <v>2.3255813953488373</v>
      </c>
      <c r="E10" s="72">
        <f t="shared" si="1"/>
        <v>8.6746015735323784E-3</v>
      </c>
      <c r="F10" s="64">
        <f t="shared" si="37"/>
        <v>2.1578509931567775</v>
      </c>
      <c r="G10" s="73">
        <v>1.4689625567579241</v>
      </c>
      <c r="H10" s="73">
        <v>4.9696326538664758E-2</v>
      </c>
      <c r="I10" s="126">
        <f t="shared" si="2"/>
        <v>3.3830900801411237</v>
      </c>
      <c r="J10" s="70">
        <v>1150</v>
      </c>
      <c r="K10" s="70">
        <v>104</v>
      </c>
      <c r="L10" s="73">
        <v>0.10618331003186929</v>
      </c>
      <c r="M10" s="70">
        <v>2.2999999999999998</v>
      </c>
      <c r="N10" s="64">
        <f t="shared" si="3"/>
        <v>0.35211251878875838</v>
      </c>
      <c r="O10" s="76">
        <v>54.654534546545349</v>
      </c>
      <c r="P10" s="73">
        <v>0.97990200979902009</v>
      </c>
      <c r="Q10" s="73">
        <v>17.388261173882611</v>
      </c>
      <c r="R10" s="73">
        <v>8.5891410858914128</v>
      </c>
      <c r="S10" s="73">
        <v>0.18998100189981001</v>
      </c>
      <c r="T10" s="73">
        <v>5.799420057994201</v>
      </c>
      <c r="U10" s="73">
        <v>8.6891310868913116</v>
      </c>
      <c r="V10" s="73">
        <v>2.7997200279972003</v>
      </c>
      <c r="W10" s="73">
        <v>0.90990900909909012</v>
      </c>
      <c r="X10" s="73">
        <v>0</v>
      </c>
      <c r="Y10" s="73">
        <f t="shared" si="4"/>
        <v>100</v>
      </c>
      <c r="Z10" s="73">
        <v>3.7096290370962905</v>
      </c>
      <c r="AA10" s="73">
        <v>0.43090091720522888</v>
      </c>
      <c r="AB10" s="59">
        <f t="shared" si="5"/>
        <v>2.6660937708295847</v>
      </c>
      <c r="AC10" s="60">
        <f t="shared" si="6"/>
        <v>6.1872548058647601</v>
      </c>
      <c r="AD10" s="57">
        <f t="shared" si="7"/>
        <v>100.26420749080293</v>
      </c>
      <c r="AE10" s="57"/>
      <c r="AF10" s="57">
        <f t="shared" si="8"/>
        <v>54.184505549445056</v>
      </c>
      <c r="AG10" s="57">
        <f t="shared" si="8"/>
        <v>0.97147485251474852</v>
      </c>
      <c r="AH10" s="57">
        <f t="shared" si="8"/>
        <v>17.23872212778722</v>
      </c>
      <c r="AI10" s="57">
        <f t="shared" si="8"/>
        <v>8.5152744725527469</v>
      </c>
      <c r="AJ10" s="57">
        <f t="shared" si="8"/>
        <v>0.18834716528347165</v>
      </c>
      <c r="AK10" s="57">
        <f t="shared" si="8"/>
        <v>5.7495450454954504</v>
      </c>
      <c r="AL10" s="57">
        <f t="shared" si="8"/>
        <v>8.614404559544047</v>
      </c>
      <c r="AM10" s="57">
        <f t="shared" si="8"/>
        <v>2.7756424357564242</v>
      </c>
      <c r="AN10" s="57">
        <f t="shared" si="8"/>
        <v>0.90208379162083796</v>
      </c>
      <c r="AO10" s="57">
        <f t="shared" si="8"/>
        <v>0</v>
      </c>
      <c r="AP10" s="57">
        <f t="shared" si="9"/>
        <v>99.14</v>
      </c>
      <c r="AQ10" s="57"/>
      <c r="AR10" s="84">
        <f t="shared" si="10"/>
        <v>54.041723268410927</v>
      </c>
      <c r="AS10" s="85">
        <f t="shared" si="10"/>
        <v>0.96891490675160452</v>
      </c>
      <c r="AT10" s="85">
        <f t="shared" si="10"/>
        <v>17.193296151439185</v>
      </c>
      <c r="AU10" s="85">
        <f t="shared" si="10"/>
        <v>8.4928357642819226</v>
      </c>
      <c r="AV10" s="85">
        <f t="shared" si="10"/>
        <v>0.18785084926816822</v>
      </c>
      <c r="AW10" s="85">
        <f t="shared" si="10"/>
        <v>5.7343943460809248</v>
      </c>
      <c r="AX10" s="85">
        <f t="shared" si="10"/>
        <v>8.5917046323177999</v>
      </c>
      <c r="AY10" s="85">
        <f t="shared" si="10"/>
        <v>2.7683283050045842</v>
      </c>
      <c r="AZ10" s="85">
        <f t="shared" si="10"/>
        <v>0.89970669912649004</v>
      </c>
      <c r="BA10" s="85">
        <f t="shared" si="10"/>
        <v>0</v>
      </c>
      <c r="BB10" s="85">
        <f t="shared" si="11"/>
        <v>98.878754922681594</v>
      </c>
      <c r="BC10" s="85">
        <f t="shared" si="12"/>
        <v>2.6362003256674655</v>
      </c>
      <c r="BD10" s="85">
        <f t="shared" si="12"/>
        <v>6.117880515932856</v>
      </c>
      <c r="BE10" s="85">
        <f t="shared" si="13"/>
        <v>99.999999999999986</v>
      </c>
      <c r="BF10" s="84">
        <f t="shared" si="14"/>
        <v>54.51051368611148</v>
      </c>
      <c r="BG10" s="85">
        <f t="shared" si="14"/>
        <v>0.97731985752633099</v>
      </c>
      <c r="BH10" s="85">
        <f t="shared" si="14"/>
        <v>17.342441145288667</v>
      </c>
      <c r="BI10" s="85">
        <f t="shared" si="15"/>
        <v>2.6590683131606472</v>
      </c>
      <c r="BJ10" s="85">
        <f t="shared" si="15"/>
        <v>6.1709506918830499</v>
      </c>
      <c r="BK10" s="85">
        <f t="shared" si="16"/>
        <v>0.18948038054081925</v>
      </c>
      <c r="BL10" s="85">
        <f t="shared" si="16"/>
        <v>5.7841379322986937</v>
      </c>
      <c r="BM10" s="85">
        <f t="shared" si="16"/>
        <v>8.666234246840629</v>
      </c>
      <c r="BN10" s="85">
        <f t="shared" si="16"/>
        <v>2.7923424500752314</v>
      </c>
      <c r="BO10" s="85">
        <f t="shared" si="16"/>
        <v>0.90751129627445026</v>
      </c>
      <c r="BP10" s="85">
        <f t="shared" si="16"/>
        <v>0</v>
      </c>
      <c r="BQ10" s="85">
        <f t="shared" si="17"/>
        <v>99.999999999999986</v>
      </c>
      <c r="BR10" s="85"/>
      <c r="BS10" s="82">
        <f>AR10/Weights!$B$5*2+AS10/Weights!$B$7*2+AT10/Weights!$B$8*3+'Data and calc.'!BC10/Weights!$B$20*3+'Data and calc.'!BD10/Weights!$B$10+'Data and calc.'!AV10/Weights!$B$11+'Data and calc.'!AW10/Weights!$B$13+'Data and calc.'!AX10/Weights!$B$14+'Data and calc.'!AY10/Weights!$B$15+AZ10/Weights!$B$16+B10/Weights!$B$19+'Data and calc.'!BA10/Weights!$B$6*5</f>
        <v>2.8638246951893809</v>
      </c>
      <c r="BT10" s="84">
        <f>AR10/Weights!$B$5*8/'Data and calc.'!$BS10</f>
        <v>2.512587166565921</v>
      </c>
      <c r="BU10" s="85">
        <f>AS10/Weights!$B$7*8/'Data and calc.'!$BS10</f>
        <v>3.3890088177798532E-2</v>
      </c>
      <c r="BV10" s="85">
        <f>AT10/Weights!$B$8*8/'Data and calc.'!$BS10*2</f>
        <v>0.94211201394617372</v>
      </c>
      <c r="BW10" s="85">
        <f>BC10/Weights!$B$20*8/'Data and calc.'!$BS10*2</f>
        <v>9.2232164394626656E-2</v>
      </c>
      <c r="BX10" s="85">
        <f>BD10/Weights!$B$10*8/'Data and calc.'!$BS10</f>
        <v>0.23787787152181988</v>
      </c>
      <c r="BY10" s="85">
        <f>AV10/Weights!$B$11*8/'Data and calc.'!$BS10</f>
        <v>7.3974771601240021E-3</v>
      </c>
      <c r="BZ10" s="85">
        <f>AW10/Weights!$B$13*8/'Data and calc.'!$BS10</f>
        <v>0.39745042208438569</v>
      </c>
      <c r="CA10" s="85">
        <f>AX10/Weights!$B$14*8/'Data and calc.'!$BS10</f>
        <v>0.4279944366630678</v>
      </c>
      <c r="CB10" s="85">
        <f>AY10/Weights!$B$15*8/'Data and calc.'!$BS10*2</f>
        <v>0.2495455413351004</v>
      </c>
      <c r="CC10" s="85">
        <f>AZ10/Weights!$B$16*8/'Data and calc.'!$BS10*2</f>
        <v>5.3363448884416256E-2</v>
      </c>
      <c r="CD10" s="85">
        <f>BA10/Weights!$B$6*8/'Data and calc.'!$BS10*2</f>
        <v>0</v>
      </c>
      <c r="CE10" s="85">
        <f>B10/Weights!$B$19*8/'Data and calc.'!$BS10*2</f>
        <v>0.26670904092440506</v>
      </c>
      <c r="CF10" s="85">
        <f t="shared" si="18"/>
        <v>14.323285732338078</v>
      </c>
      <c r="CG10" s="85">
        <f t="shared" si="19"/>
        <v>0.46824850079653368</v>
      </c>
      <c r="CH10" s="85">
        <f t="shared" si="20"/>
        <v>5.3832212853218549E-2</v>
      </c>
      <c r="CI10" s="85">
        <f>AR10/Weights!$B$5*2+AS10/Weights!$B$7*2+AT10/Weights!$B$8*3+'Data and calc.'!BC10/Weights!$B$20*3+'Data and calc.'!BD10/Weights!$B$10+'Data and calc.'!AV10/Weights!$B$11+'Data and calc.'!AW10/Weights!$B$13+'Data and calc.'!AX10/Weights!$B$14+'Data and calc.'!AY10/Weights!$B$15+AZ10/Weights!$B$16+'Data and calc.'!BA10/Weights!$B$6*5</f>
        <v>2.8160866990750315</v>
      </c>
      <c r="CJ10" s="84">
        <f>AR10/Weights!$B$5*8/'Data and calc.'!$CI10</f>
        <v>2.5551802715416612</v>
      </c>
      <c r="CK10" s="85">
        <f>AS10/Weights!$B$7*8/'Data and calc.'!$CI10</f>
        <v>3.446458927475627E-2</v>
      </c>
      <c r="CL10" s="85">
        <f>AT10/Weights!$B$8*8/'Data and calc.'!$CI10*2</f>
        <v>0.95808259456637146</v>
      </c>
      <c r="CM10" s="85">
        <f>BC10/Weights!$B$20*8/'Data and calc.'!$CI10*2</f>
        <v>9.379567403619235E-2</v>
      </c>
      <c r="CN10" s="85">
        <f>BD10/Weights!$B$10*8/'Data and calc.'!$CI10</f>
        <v>0.24191035138479011</v>
      </c>
      <c r="CO10" s="85">
        <f>AV10/Weights!$B$11*8/'Data and calc.'!$CI10</f>
        <v>7.5228783901507548E-3</v>
      </c>
      <c r="CP10" s="85">
        <f>AW10/Weights!$B$13*8/'Data and calc.'!$CI10</f>
        <v>0.40418795850730299</v>
      </c>
      <c r="CQ10" s="85">
        <f>AX10/Weights!$B$14*8/'Data and calc.'!$CI10</f>
        <v>0.43524975190641435</v>
      </c>
      <c r="CR10" s="85">
        <f>AY10/Weights!$B$15*8/'Data and calc.'!$CI10*2</f>
        <v>0.2537758102705423</v>
      </c>
      <c r="CS10" s="85">
        <f>AZ10/Weights!$B$16*8/'Data and calc.'!$CI10*2</f>
        <v>5.426806027877755E-2</v>
      </c>
      <c r="CT10" s="85">
        <f>BA10/Weights!$B$6*8/'Data and calc.'!$CI10*2</f>
        <v>0</v>
      </c>
      <c r="CU10" s="85">
        <f t="shared" si="21"/>
        <v>7.9999999999999991</v>
      </c>
      <c r="CV10" s="85">
        <f t="shared" si="22"/>
        <v>14.566092517675925</v>
      </c>
      <c r="CW10" s="85">
        <f t="shared" si="23"/>
        <v>0.39376585878032327</v>
      </c>
      <c r="CX10" s="113"/>
      <c r="CY10" s="90">
        <f t="shared" si="38"/>
        <v>8.9777676136857266E-3</v>
      </c>
      <c r="CZ10" s="91">
        <f t="shared" si="24"/>
        <v>0.88978844746191732</v>
      </c>
      <c r="DA10" s="85">
        <f t="shared" si="25"/>
        <v>2.9788447461917333E-2</v>
      </c>
      <c r="DB10" s="85">
        <f t="shared" si="26"/>
        <v>2.9788447461917333E-2</v>
      </c>
      <c r="DC10" s="85">
        <f t="shared" si="27"/>
        <v>8.8735160219140924E-4</v>
      </c>
      <c r="DD10" s="117"/>
      <c r="DE10" s="97"/>
      <c r="DF10" s="91">
        <f t="shared" si="39"/>
        <v>0.88359877340654469</v>
      </c>
      <c r="DG10" s="85">
        <f t="shared" si="28"/>
        <v>2.3598773406544704E-2</v>
      </c>
      <c r="DH10" s="85">
        <f t="shared" si="29"/>
        <v>2.3598773406544704E-2</v>
      </c>
      <c r="DI10" s="85">
        <f t="shared" si="30"/>
        <v>5.5690210629344157E-4</v>
      </c>
      <c r="DK10" s="117"/>
      <c r="DL10" s="99">
        <f>'Eq. 3 coef.'!$B$15+'Eq. 3 coef.'!$B$16*'Data and calc.'!G10^2+'Eq. 3 coef.'!$B$17*'Data and calc.'!G10+'Eq. 3 coef.'!$B$18*'Data and calc.'!BF10+'Eq. 3 coef.'!$B$19*'Data and calc.'!BG10+'Eq. 3 coef.'!$B$20*'Data and calc.'!BH10+'Eq. 3 coef.'!$B$21*'Data and calc.'!BI10+'Eq. 3 coef.'!$B$22*'Data and calc.'!BJ10+'Eq. 3 coef.'!$B$23*'Data and calc.'!BK10+'Eq. 3 coef.'!$B$24*'Data and calc.'!BL10+'Eq. 3 coef.'!$B$25*'Data and calc.'!BM10+'Eq. 3 coef.'!$B$26*'Data and calc.'!BN10+'Eq. 3 coef.'!$B$27*'Data and calc.'!BO10+'Eq. 3 coef.'!$B$28*'Data and calc.'!BP10</f>
        <v>1.0057670393562148</v>
      </c>
      <c r="DM10" s="85">
        <f t="shared" si="31"/>
        <v>0.14576703935621482</v>
      </c>
      <c r="DN10" s="85">
        <f t="shared" si="32"/>
        <v>0.14576703935621482</v>
      </c>
      <c r="DO10" s="85">
        <f t="shared" si="33"/>
        <v>2.1248029762676281E-2</v>
      </c>
      <c r="DP10" s="117"/>
      <c r="DQ10" s="99">
        <f>'Eq. 4 coef.'!$B$15+'Eq. 4 coef.'!$B$16*'Data and calc.'!G10^2+'Eq. 4 coef.'!$B$17*'Data and calc.'!G10+'Eq. 4 coef.'!$B$18*'Data and calc.'!O10+'Eq. 4 coef.'!$B$19*'Data and calc.'!P10+'Eq. 4 coef.'!$B$20*'Data and calc.'!Q10+'Eq. 4 coef.'!$B$21*'Data and calc.'!R10+'Eq. 4 coef.'!$B$22*'Data and calc.'!S10+'Eq. 4 coef.'!$B$23*'Data and calc.'!T10+'Eq. 4 coef.'!$B$24*'Data and calc.'!U10+'Eq. 4 coef.'!$B$25*'Data and calc.'!V10+'Eq. 4 coef.'!$B$26*'Data and calc.'!W10+'Eq. 4 coef.'!$B$27*'Data and calc.'!X10</f>
        <v>1.0289530211912279</v>
      </c>
      <c r="DR10" s="85">
        <f t="shared" si="34"/>
        <v>0.1689530211912279</v>
      </c>
      <c r="DS10" s="85">
        <f t="shared" si="35"/>
        <v>0.1689530211912279</v>
      </c>
      <c r="DT10" s="85">
        <f t="shared" si="36"/>
        <v>2.8545123369643505E-2</v>
      </c>
    </row>
    <row r="11" spans="1:124" x14ac:dyDescent="0.15">
      <c r="A11" s="142" t="s">
        <v>640</v>
      </c>
      <c r="B11" s="73"/>
      <c r="C11" s="73"/>
      <c r="E11" s="71"/>
      <c r="F11" s="126"/>
      <c r="I11" s="126"/>
      <c r="L11" s="73"/>
      <c r="Y11" s="73"/>
      <c r="Z11" s="73"/>
      <c r="AA11" s="73"/>
      <c r="AR11" s="84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4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T11" s="84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4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Z11" s="91"/>
      <c r="DA11" s="85"/>
      <c r="DB11" s="85"/>
      <c r="DC11" s="85"/>
      <c r="DF11" s="91"/>
      <c r="DG11" s="85"/>
      <c r="DH11" s="85"/>
      <c r="DI11" s="85"/>
      <c r="DL11" s="99"/>
      <c r="DM11" s="85"/>
      <c r="DN11" s="85"/>
      <c r="DO11" s="85"/>
      <c r="DR11" s="85"/>
      <c r="DS11" s="85"/>
      <c r="DT11" s="85"/>
    </row>
    <row r="12" spans="1:124" ht="15" x14ac:dyDescent="0.2">
      <c r="A12" s="66" t="s">
        <v>487</v>
      </c>
      <c r="B12" s="73">
        <v>4.6900000000000004</v>
      </c>
      <c r="C12" s="73">
        <v>0.17</v>
      </c>
      <c r="D12" s="126">
        <f t="shared" ref="D12:D34" si="40">C12*100/B12</f>
        <v>3.624733475479744</v>
      </c>
      <c r="E12" s="72">
        <f t="shared" ref="E12:E34" si="41">B12/(100-B12)</f>
        <v>4.9207848074703603E-2</v>
      </c>
      <c r="F12" s="64">
        <f t="shared" ref="F12:F34" si="42">G12^2</f>
        <v>42.857560099153439</v>
      </c>
      <c r="G12" s="73">
        <v>6.5465685743871527</v>
      </c>
      <c r="H12" s="73">
        <v>2.7456114723239892E-2</v>
      </c>
      <c r="I12" s="126">
        <f>H12*100/G12</f>
        <v>0.41939703848302168</v>
      </c>
      <c r="J12" s="74">
        <v>1160</v>
      </c>
      <c r="K12" s="74">
        <v>200</v>
      </c>
      <c r="L12" s="73">
        <v>1</v>
      </c>
      <c r="M12" s="70">
        <v>1.8</v>
      </c>
      <c r="N12" s="64">
        <f t="shared" ref="N12:N34" si="43">M12+2*LOG(L12)</f>
        <v>1.8</v>
      </c>
      <c r="O12" s="76">
        <v>61.087456647342663</v>
      </c>
      <c r="P12" s="73">
        <v>0.17912336769534656</v>
      </c>
      <c r="Q12" s="73">
        <v>12.943300718744062</v>
      </c>
      <c r="R12" s="73">
        <v>6.7857896563495519</v>
      </c>
      <c r="S12" s="73">
        <v>0.10824167474908172</v>
      </c>
      <c r="T12" s="73">
        <v>8.9817743786359543</v>
      </c>
      <c r="U12" s="73">
        <v>7.2332142536960395</v>
      </c>
      <c r="V12" s="73">
        <v>2.0720781969249025</v>
      </c>
      <c r="W12" s="73">
        <v>0.56787526659700915</v>
      </c>
      <c r="X12" s="73">
        <v>4.1128700173258634E-2</v>
      </c>
      <c r="Y12" s="73">
        <f>SUM(O12:X12)</f>
        <v>99.999982860907878</v>
      </c>
      <c r="Z12" s="73">
        <v>2.6399534635219117</v>
      </c>
      <c r="AA12" s="73">
        <v>1.0672497034931299</v>
      </c>
      <c r="AB12" s="59">
        <f t="shared" ref="AB12:AB34" si="44">(R12-AC12)*1.11</f>
        <v>3.692165627886518</v>
      </c>
      <c r="AC12" s="60">
        <f t="shared" ref="AC12:AC34" si="45">R12*1.11/(AA12+1.11)</f>
        <v>3.4595143159112478</v>
      </c>
      <c r="AD12" s="57">
        <f t="shared" ref="AD12:AD34" si="46">100-R12+AB12+AC12</f>
        <v>100.36589028744822</v>
      </c>
      <c r="AE12" s="57"/>
      <c r="AF12" s="57">
        <f t="shared" ref="AF12:AF34" si="47">O12*(100-$B12)/100</f>
        <v>58.222454930582288</v>
      </c>
      <c r="AG12" s="57">
        <f t="shared" ref="AG12:AG34" si="48">P12*(100-$B12)/100</f>
        <v>0.17072248175043481</v>
      </c>
      <c r="AH12" s="57">
        <f t="shared" ref="AH12:AH34" si="49">Q12*(100-$B12)/100</f>
        <v>12.336259915034965</v>
      </c>
      <c r="AI12" s="57">
        <f t="shared" ref="AI12:AI34" si="50">R12*(100-$B12)/100</f>
        <v>6.4675361214667575</v>
      </c>
      <c r="AJ12" s="57">
        <f t="shared" ref="AJ12:AJ34" si="51">S12*(100-$B12)/100</f>
        <v>0.1031651402033498</v>
      </c>
      <c r="AK12" s="57">
        <f t="shared" ref="AK12:AK34" si="52">T12*(100-$B12)/100</f>
        <v>8.5605291602779285</v>
      </c>
      <c r="AL12" s="57">
        <f t="shared" ref="AL12:AL34" si="53">U12*(100-$B12)/100</f>
        <v>6.8939765051976956</v>
      </c>
      <c r="AM12" s="57">
        <f t="shared" ref="AM12:AM34" si="54">V12*(100-$B12)/100</f>
        <v>1.9748977294891246</v>
      </c>
      <c r="AN12" s="57">
        <f t="shared" ref="AN12:AN34" si="55">W12*(100-$B12)/100</f>
        <v>0.54124191659360943</v>
      </c>
      <c r="AO12" s="57">
        <f t="shared" ref="AO12:AO34" si="56">X12*(100-$B12)/100</f>
        <v>3.9199764135132806E-2</v>
      </c>
      <c r="AP12" s="57">
        <f t="shared" ref="AP12:AP34" si="57">SUM(AF12:AO12)</f>
        <v>95.309983664731291</v>
      </c>
      <c r="AQ12" s="57"/>
      <c r="AR12" s="84">
        <f t="shared" ref="AR12:AR34" si="58">O12*(100-$B12)/$AD12</f>
        <v>58.010201238521368</v>
      </c>
      <c r="AS12" s="85">
        <f t="shared" ref="AS12:AS34" si="59">P12*(100-$B12)/$AD12</f>
        <v>0.17010010199828357</v>
      </c>
      <c r="AT12" s="85">
        <f t="shared" ref="AT12:AT34" si="60">Q12*(100-$B12)/$AD12</f>
        <v>12.291287288643462</v>
      </c>
      <c r="AU12" s="85">
        <f t="shared" ref="AU12:AU34" si="61">R12*(100-$B12)/$AD12</f>
        <v>6.4439583039055544</v>
      </c>
      <c r="AV12" s="85">
        <f t="shared" ref="AV12:AV34" si="62">S12*(100-$B12)/$AD12</f>
        <v>0.10278904507087469</v>
      </c>
      <c r="AW12" s="85">
        <f t="shared" ref="AW12:AW34" si="63">T12*(100-$B12)/$AD12</f>
        <v>8.5293212024130369</v>
      </c>
      <c r="AX12" s="85">
        <f t="shared" ref="AX12:AX34" si="64">U12*(100-$B12)/$AD12</f>
        <v>6.868844071878728</v>
      </c>
      <c r="AY12" s="85">
        <f t="shared" ref="AY12:AY34" si="65">V12*(100-$B12)/$AD12</f>
        <v>1.9676981132065996</v>
      </c>
      <c r="AZ12" s="85">
        <f t="shared" ref="AZ12:AZ34" si="66">W12*(100-$B12)/$AD12</f>
        <v>0.53926878448792803</v>
      </c>
      <c r="BA12" s="85">
        <f t="shared" ref="BA12:BA34" si="67">X12*(100-$B12)/$AD12</f>
        <v>3.9056858881901572E-2</v>
      </c>
      <c r="BB12" s="85">
        <f>SUM(AR12:BA12)</f>
        <v>94.962525009007749</v>
      </c>
      <c r="BC12" s="85">
        <f t="shared" ref="BC12:BC34" si="68">AB12*(100-$B12)/$AD12</f>
        <v>3.5061743086821675</v>
      </c>
      <c r="BD12" s="85">
        <f t="shared" ref="BD12:BD34" si="69">AC12*(100-$B12)/$AD12</f>
        <v>3.2852427104981969</v>
      </c>
      <c r="BE12" s="85">
        <f t="shared" ref="BE12:BE34" si="70">BB12+BC12+BD12+B12-AU12</f>
        <v>99.999983724282544</v>
      </c>
      <c r="BF12" s="84">
        <f t="shared" ref="BF12:BF34" si="71">AR12*100/(100-$B12)</f>
        <v>60.864758407849507</v>
      </c>
      <c r="BG12" s="85">
        <f t="shared" ref="BG12:BG34" si="72">AS12*100/(100-$B12)</f>
        <v>0.1784703619749067</v>
      </c>
      <c r="BH12" s="85">
        <f t="shared" ref="BH12:BH34" si="73">AT12*100/(100-$B12)</f>
        <v>12.896115086185564</v>
      </c>
      <c r="BI12" s="85">
        <f t="shared" ref="BI12:BI34" si="74">BC12*100/(100-$B12)</f>
        <v>3.6787056013872284</v>
      </c>
      <c r="BJ12" s="85">
        <f t="shared" ref="BJ12:BJ34" si="75">BD12*100/(100-$B12)</f>
        <v>3.4469024346849193</v>
      </c>
      <c r="BK12" s="85">
        <f t="shared" ref="BK12:BK34" si="76">AV12*100/(100-$B12)</f>
        <v>0.10784707278446616</v>
      </c>
      <c r="BL12" s="85">
        <f t="shared" ref="BL12:BL34" si="77">AW12*100/(100-$B12)</f>
        <v>8.9490307443217247</v>
      </c>
      <c r="BM12" s="85">
        <f t="shared" ref="BM12:BM34" si="78">AX12*100/(100-$B12)</f>
        <v>7.2068451074165649</v>
      </c>
      <c r="BN12" s="85">
        <f t="shared" ref="BN12:BN34" si="79">AY12*100/(100-$B12)</f>
        <v>2.0645243030181506</v>
      </c>
      <c r="BO12" s="85">
        <f t="shared" ref="BO12:BO34" si="80">AZ12*100/(100-$B12)</f>
        <v>0.56580504090644013</v>
      </c>
      <c r="BP12" s="85">
        <f t="shared" ref="BP12:BP34" si="81">BA12*100/(100-$B12)</f>
        <v>4.0978762860037321E-2</v>
      </c>
      <c r="BQ12" s="85">
        <f t="shared" ref="BQ12:BQ34" si="82">SUM(BF12:BP12)</f>
        <v>99.99998292338951</v>
      </c>
      <c r="BR12" s="85"/>
      <c r="BS12" s="82">
        <f>AR12/Weights!$B$5*2+AS12/Weights!$B$7*2+AT12/Weights!$B$8*3+'Data and calc.'!BC12/Weights!$B$20*3+'Data and calc.'!BD12/Weights!$B$10+'Data and calc.'!AV12/Weights!$B$11+'Data and calc.'!AW12/Weights!$B$13+'Data and calc.'!AX12/Weights!$B$14+'Data and calc.'!AY12/Weights!$B$15+AZ12/Weights!$B$16+B12/Weights!$B$19+'Data and calc.'!BA12/Weights!$B$6*5</f>
        <v>3.0432595715248816</v>
      </c>
      <c r="BT12" s="84">
        <f>AR12/Weights!$B$5*8/'Data and calc.'!$BS12</f>
        <v>2.5380709197961795</v>
      </c>
      <c r="BU12" s="85">
        <f>AS12/Weights!$B$7*8/'Data and calc.'!$BS12</f>
        <v>5.5988530429703868E-3</v>
      </c>
      <c r="BV12" s="85">
        <f>AT12/Weights!$B$8*8/'Data and calc.'!$BS12*2</f>
        <v>0.63379411307367883</v>
      </c>
      <c r="BW12" s="85">
        <f>BC12/Weights!$B$20*8/'Data and calc.'!$BS12*2</f>
        <v>0.11543697222452477</v>
      </c>
      <c r="BX12" s="85">
        <f>BD12/Weights!$B$10*8/'Data and calc.'!$BS12</f>
        <v>0.12020649843324122</v>
      </c>
      <c r="BY12" s="85">
        <f>AV12/Weights!$B$11*8/'Data and calc.'!$BS12</f>
        <v>3.8091207020306988E-3</v>
      </c>
      <c r="BZ12" s="85">
        <f>AW12/Weights!$B$13*8/'Data and calc.'!$BS12</f>
        <v>0.55631056766541576</v>
      </c>
      <c r="CA12" s="85">
        <f>AX12/Weights!$B$14*8/'Data and calc.'!$BS12</f>
        <v>0.32199555484325593</v>
      </c>
      <c r="CB12" s="85">
        <f>AY12/Weights!$B$15*8/'Data and calc.'!$BS12*2</f>
        <v>0.16691605961122105</v>
      </c>
      <c r="CC12" s="85">
        <f>AZ12/Weights!$B$16*8/'Data and calc.'!$BS12*2</f>
        <v>3.009924840598633E-2</v>
      </c>
      <c r="CD12" s="85">
        <f>BA12/Weights!$B$6*8/'Data and calc.'!$BS12*2</f>
        <v>1.4466528224332939E-3</v>
      </c>
      <c r="CE12" s="85">
        <f>B12/Weights!$B$19*8/'Data and calc.'!$BS12*2</f>
        <v>1.3687355973315287</v>
      </c>
      <c r="CF12" s="85">
        <f t="shared" ref="CF12:CF34" si="83">SUM(BT12:BW12)*4</f>
        <v>13.171603432549414</v>
      </c>
      <c r="CG12" s="85">
        <f t="shared" ref="CG12:CG34" si="84">(16-CF12)/SUM(BT12:BW12)</f>
        <v>0.85893766296094409</v>
      </c>
      <c r="CH12" s="85">
        <f>CE12/SUM(BT12:CD12)</f>
        <v>0.30459093843079998</v>
      </c>
      <c r="CI12" s="85">
        <f>AR12/Weights!$B$5*2+AS12/Weights!$B$7*2+AT12/Weights!$B$8*3+'Data and calc.'!BC12/Weights!$B$20*3+'Data and calc.'!BD12/Weights!$B$10+'Data and calc.'!AV12/Weights!$B$11+'Data and calc.'!AW12/Weights!$B$13+'Data and calc.'!AX12/Weights!$B$14+'Data and calc.'!AY12/Weights!$B$15+AZ12/Weights!$B$16+'Data and calc.'!BA12/Weights!$B$6*5</f>
        <v>2.7829209648082567</v>
      </c>
      <c r="CJ12" s="84">
        <f>AR12/Weights!$B$5*8/'Data and calc.'!$CI12</f>
        <v>2.7755041258999134</v>
      </c>
      <c r="CK12" s="85">
        <f>AS12/Weights!$B$7*8/'Data and calc.'!$CI12</f>
        <v>6.122618402766896E-3</v>
      </c>
      <c r="CL12" s="85">
        <f>AT12/Weights!$B$8*8/'Data and calc.'!$CI12*2</f>
        <v>0.69308472118987785</v>
      </c>
      <c r="CM12" s="85">
        <f>BC12/Weights!$B$20*8/'Data and calc.'!$CI12*2</f>
        <v>0.12623594959131074</v>
      </c>
      <c r="CN12" s="85">
        <f>BD12/Weights!$B$10*8/'Data and calc.'!$CI12</f>
        <v>0.13145165872206399</v>
      </c>
      <c r="CO12" s="85">
        <f>AV12/Weights!$B$11*8/'Data and calc.'!$CI12</f>
        <v>4.1654589483992761E-3</v>
      </c>
      <c r="CP12" s="85">
        <f>AW12/Weights!$B$13*8/'Data and calc.'!$CI12</f>
        <v>0.60835269172111195</v>
      </c>
      <c r="CQ12" s="85">
        <f>AX12/Weights!$B$14*8/'Data and calc.'!$CI12</f>
        <v>0.35211781673171583</v>
      </c>
      <c r="CR12" s="85">
        <f>AY12/Weights!$B$15*8/'Data and calc.'!$CI12*2</f>
        <v>0.18253083809301254</v>
      </c>
      <c r="CS12" s="85">
        <f>AZ12/Weights!$B$16*8/'Data and calc.'!$CI12*2</f>
        <v>3.2914993622010454E-2</v>
      </c>
      <c r="CT12" s="85">
        <f>BA12/Weights!$B$6*8/'Data and calc.'!$CI12*2</f>
        <v>1.5819852968217306E-3</v>
      </c>
      <c r="CU12" s="85">
        <f t="shared" ref="CU12:CU34" si="85">CJ12*2+CK12*2+CL12*1.5+CM12*1.5+CN12+CO12+CP12+CQ12+CR12*0.5+CS12*0.5+CT12*2.5</f>
        <v>8</v>
      </c>
      <c r="CV12" s="85">
        <f t="shared" ref="CV12:CV34" si="86">SUM(CJ12:CM12)*4</f>
        <v>14.403789660335475</v>
      </c>
      <c r="CW12" s="85">
        <f t="shared" ref="CW12:CW34" si="87">(16-CV12)/SUM(CJ12:CM12)</f>
        <v>0.44327510392909975</v>
      </c>
      <c r="CX12" s="113"/>
      <c r="CY12" s="90">
        <f t="shared" ref="CY12:CY73" si="88">$CZ$2*G12+$DB$2</f>
        <v>5.2695955425473381E-2</v>
      </c>
      <c r="CZ12" s="91">
        <f t="shared" ref="CZ12:CZ34" si="89">100*CY12/(1+CY12)</f>
        <v>5.0058096218461294</v>
      </c>
      <c r="DA12" s="85">
        <f t="shared" ref="DA12:DA34" si="90">CZ12-B12</f>
        <v>0.31580962184612904</v>
      </c>
      <c r="DB12" s="85">
        <f t="shared" ref="DB12:DB34" si="91">ABS(DA12)</f>
        <v>0.31580962184612904</v>
      </c>
      <c r="DC12" s="85">
        <f t="shared" ref="DC12:DC34" si="92">DA12^2</f>
        <v>9.9735717250595018E-2</v>
      </c>
      <c r="DD12" s="117"/>
      <c r="DE12" s="97"/>
      <c r="DF12" s="91">
        <f t="shared" ref="DF12:DF34" si="93">$DF$2*G12^2 + $DH$2*G12 +$DJ$2</f>
        <v>5.0136030518997678</v>
      </c>
      <c r="DG12" s="85">
        <f t="shared" ref="DG12:DG34" si="94">DF12-B12</f>
        <v>0.32360305189976746</v>
      </c>
      <c r="DH12" s="85">
        <f t="shared" ref="DH12:DH34" si="95">ABS(DG12)</f>
        <v>0.32360305189976746</v>
      </c>
      <c r="DI12" s="85">
        <f>DG12^2</f>
        <v>0.10471893519884359</v>
      </c>
      <c r="DK12" s="117"/>
      <c r="DL12" s="99">
        <f>'Eq. 3 coef.'!$B$15+'Eq. 3 coef.'!$B$16*'Data and calc.'!G12^2+'Eq. 3 coef.'!$B$17*'Data and calc.'!G12+'Eq. 3 coef.'!$B$18*'Data and calc.'!BF12+'Eq. 3 coef.'!$B$19*'Data and calc.'!BG12+'Eq. 3 coef.'!$B$20*'Data and calc.'!BH12+'Eq. 3 coef.'!$B$21*'Data and calc.'!BI12+'Eq. 3 coef.'!$B$22*'Data and calc.'!BJ12+'Eq. 3 coef.'!$B$23*'Data and calc.'!BK12+'Eq. 3 coef.'!$B$24*'Data and calc.'!BL12+'Eq. 3 coef.'!$B$25*'Data and calc.'!BM12+'Eq. 3 coef.'!$B$26*'Data and calc.'!BN12+'Eq. 3 coef.'!$B$27*'Data and calc.'!BO12+'Eq. 3 coef.'!$B$28*'Data and calc.'!BP12</f>
        <v>4.6946992878970377</v>
      </c>
      <c r="DM12" s="85">
        <f t="shared" ref="DM12:DM34" si="96">DL12-B12</f>
        <v>4.6992878970373297E-3</v>
      </c>
      <c r="DN12" s="85">
        <f t="shared" ref="DN12:DN34" si="97">ABS(DM12)</f>
        <v>4.6992878970373297E-3</v>
      </c>
      <c r="DO12" s="85">
        <f t="shared" si="33"/>
        <v>2.2083306739241529E-5</v>
      </c>
      <c r="DP12" s="117"/>
      <c r="DQ12" s="99">
        <f>'Eq. 4 coef.'!$B$15+'Eq. 4 coef.'!$B$16*'Data and calc.'!G12^2+'Eq. 4 coef.'!$B$17*'Data and calc.'!G12+'Eq. 4 coef.'!$B$18*'Data and calc.'!O12+'Eq. 4 coef.'!$B$19*'Data and calc.'!P12+'Eq. 4 coef.'!$B$20*'Data and calc.'!Q12+'Eq. 4 coef.'!$B$21*'Data and calc.'!R12+'Eq. 4 coef.'!$B$22*'Data and calc.'!S12+'Eq. 4 coef.'!$B$23*'Data and calc.'!T12+'Eq. 4 coef.'!$B$24*'Data and calc.'!U12+'Eq. 4 coef.'!$B$25*'Data and calc.'!V12+'Eq. 4 coef.'!$B$26*'Data and calc.'!W12+'Eq. 4 coef.'!$B$27*'Data and calc.'!X12</f>
        <v>4.7649920914542463</v>
      </c>
      <c r="DR12" s="85">
        <f t="shared" ref="DR12:DR34" si="98">DQ12-B12</f>
        <v>7.4992091454245902E-2</v>
      </c>
      <c r="DS12" s="85">
        <f t="shared" ref="DS12:DS34" si="99">ABS(DR12)</f>
        <v>7.4992091454245902E-2</v>
      </c>
      <c r="DT12" s="85">
        <f t="shared" ref="DT12:DT34" si="100">DR12^2</f>
        <v>5.6238137806819809E-3</v>
      </c>
    </row>
    <row r="13" spans="1:124" ht="15" x14ac:dyDescent="0.2">
      <c r="A13" s="66" t="s">
        <v>486</v>
      </c>
      <c r="B13" s="73">
        <v>5.08</v>
      </c>
      <c r="C13" s="73">
        <v>0.09</v>
      </c>
      <c r="D13" s="126">
        <f t="shared" si="40"/>
        <v>1.7716535433070866</v>
      </c>
      <c r="E13" s="72">
        <f t="shared" si="41"/>
        <v>5.3518752633796879E-2</v>
      </c>
      <c r="F13" s="64">
        <f t="shared" si="42"/>
        <v>53.328722694111896</v>
      </c>
      <c r="G13" s="73">
        <v>7.3026517576913044</v>
      </c>
      <c r="H13" s="73">
        <v>9.8829146659991277E-2</v>
      </c>
      <c r="I13" s="126">
        <f>H13*100/G13</f>
        <v>1.353332322822355</v>
      </c>
      <c r="J13" s="74">
        <v>1180</v>
      </c>
      <c r="K13" s="74">
        <v>430</v>
      </c>
      <c r="L13" s="73">
        <v>0.73871255060794883</v>
      </c>
      <c r="M13" s="70">
        <v>1.8</v>
      </c>
      <c r="N13" s="64">
        <f t="shared" si="43"/>
        <v>1.5369509553547487</v>
      </c>
      <c r="O13" s="76">
        <v>60.968861777993119</v>
      </c>
      <c r="P13" s="73">
        <v>0.178452725388555</v>
      </c>
      <c r="Q13" s="73">
        <v>12.951519995473801</v>
      </c>
      <c r="R13" s="73">
        <v>6.9604717833763505</v>
      </c>
      <c r="S13" s="73">
        <v>0.13496198367265702</v>
      </c>
      <c r="T13" s="73">
        <v>8.9710460330670134</v>
      </c>
      <c r="U13" s="73">
        <v>7.1100949980286838</v>
      </c>
      <c r="V13" s="73">
        <v>2.1186904048792914</v>
      </c>
      <c r="W13" s="73">
        <v>0.56593280789702227</v>
      </c>
      <c r="X13" s="73">
        <v>3.9936553334231212E-2</v>
      </c>
      <c r="Y13" s="73">
        <f>SUM(O13:X13)</f>
        <v>99.999969063110711</v>
      </c>
      <c r="Z13" s="73">
        <v>2.6846232127763137</v>
      </c>
      <c r="AA13" s="73">
        <v>0.89110006787706564</v>
      </c>
      <c r="AB13" s="59">
        <f t="shared" si="44"/>
        <v>3.4404822856137933</v>
      </c>
      <c r="AC13" s="60">
        <f t="shared" si="45"/>
        <v>3.8609381927332938</v>
      </c>
      <c r="AD13" s="57">
        <f t="shared" si="46"/>
        <v>100.34094869497075</v>
      </c>
      <c r="AE13" s="57"/>
      <c r="AF13" s="57">
        <f t="shared" si="47"/>
        <v>57.871643599671067</v>
      </c>
      <c r="AG13" s="57">
        <f t="shared" si="48"/>
        <v>0.16938732693881639</v>
      </c>
      <c r="AH13" s="57">
        <f t="shared" si="49"/>
        <v>12.293582779703732</v>
      </c>
      <c r="AI13" s="57">
        <f t="shared" si="50"/>
        <v>6.6068798167808325</v>
      </c>
      <c r="AJ13" s="57">
        <f t="shared" si="51"/>
        <v>0.12810591490208606</v>
      </c>
      <c r="AK13" s="57">
        <f t="shared" si="52"/>
        <v>8.51531689458721</v>
      </c>
      <c r="AL13" s="57">
        <f t="shared" si="53"/>
        <v>6.7489021721288269</v>
      </c>
      <c r="AM13" s="57">
        <f t="shared" si="54"/>
        <v>2.0110609323114237</v>
      </c>
      <c r="AN13" s="57">
        <f t="shared" si="55"/>
        <v>0.5371834212558535</v>
      </c>
      <c r="AO13" s="57">
        <f t="shared" si="56"/>
        <v>3.7907776424852269E-2</v>
      </c>
      <c r="AP13" s="57">
        <f t="shared" si="57"/>
        <v>94.919970634704697</v>
      </c>
      <c r="AQ13" s="57"/>
      <c r="AR13" s="84">
        <f t="shared" si="58"/>
        <v>57.675001434954233</v>
      </c>
      <c r="AS13" s="85">
        <f t="shared" si="59"/>
        <v>0.16881176542763379</v>
      </c>
      <c r="AT13" s="85">
        <f t="shared" si="60"/>
        <v>12.251810392061707</v>
      </c>
      <c r="AU13" s="85">
        <f t="shared" si="61"/>
        <v>6.5844302876438521</v>
      </c>
      <c r="AV13" s="85">
        <f t="shared" si="62"/>
        <v>0.12767062357713876</v>
      </c>
      <c r="AW13" s="85">
        <f t="shared" si="63"/>
        <v>8.4863826835773288</v>
      </c>
      <c r="AX13" s="85">
        <f t="shared" si="64"/>
        <v>6.7259700649681946</v>
      </c>
      <c r="AY13" s="85">
        <f t="shared" si="65"/>
        <v>2.0042275446536824</v>
      </c>
      <c r="AZ13" s="85">
        <f t="shared" si="66"/>
        <v>0.53535812471621369</v>
      </c>
      <c r="BA13" s="85">
        <f t="shared" si="67"/>
        <v>3.7778969521296009E-2</v>
      </c>
      <c r="BB13" s="85">
        <f>SUM(AR13:BA13)</f>
        <v>94.597441891101298</v>
      </c>
      <c r="BC13" s="85">
        <f t="shared" si="68"/>
        <v>3.2546092377819975</v>
      </c>
      <c r="BD13" s="85">
        <f t="shared" si="69"/>
        <v>3.6523498932456557</v>
      </c>
      <c r="BE13" s="85">
        <f t="shared" si="70"/>
        <v>99.999970734485089</v>
      </c>
      <c r="BF13" s="84">
        <f t="shared" si="71"/>
        <v>60.76169556990542</v>
      </c>
      <c r="BG13" s="85">
        <f t="shared" si="72"/>
        <v>0.17784636054322989</v>
      </c>
      <c r="BH13" s="85">
        <f t="shared" si="73"/>
        <v>12.907512001750639</v>
      </c>
      <c r="BI13" s="85">
        <f t="shared" si="74"/>
        <v>3.4287918644985225</v>
      </c>
      <c r="BJ13" s="85">
        <f t="shared" si="75"/>
        <v>3.8478191037143441</v>
      </c>
      <c r="BK13" s="85">
        <f t="shared" si="76"/>
        <v>0.13450339609896625</v>
      </c>
      <c r="BL13" s="85">
        <f t="shared" si="77"/>
        <v>8.9405632991754409</v>
      </c>
      <c r="BM13" s="85">
        <f t="shared" si="78"/>
        <v>7.0859355930975498</v>
      </c>
      <c r="BN13" s="85">
        <f t="shared" si="79"/>
        <v>2.1114913028378446</v>
      </c>
      <c r="BO13" s="85">
        <f t="shared" si="80"/>
        <v>0.56400982376339415</v>
      </c>
      <c r="BP13" s="85">
        <f t="shared" si="81"/>
        <v>3.9800852845866E-2</v>
      </c>
      <c r="BQ13" s="85">
        <f t="shared" si="82"/>
        <v>99.999969168231218</v>
      </c>
      <c r="BR13" s="85"/>
      <c r="BS13" s="82">
        <f>AR13/Weights!$B$5*2+AS13/Weights!$B$7*2+AT13/Weights!$B$8*3+'Data and calc.'!BC13/Weights!$B$20*3+'Data and calc.'!BD13/Weights!$B$10+'Data and calc.'!AV13/Weights!$B$11+'Data and calc.'!AW13/Weights!$B$13+'Data and calc.'!AX13/Weights!$B$14+'Data and calc.'!AY13/Weights!$B$15+AZ13/Weights!$B$16+B13/Weights!$B$19+'Data and calc.'!BA13/Weights!$B$6*5</f>
        <v>3.0501806240028944</v>
      </c>
      <c r="BT13" s="84">
        <f>AR13/Weights!$B$5*8/'Data and calc.'!$BS13</f>
        <v>2.5176794425349405</v>
      </c>
      <c r="BU13" s="85">
        <f>AS13/Weights!$B$7*8/'Data and calc.'!$BS13</f>
        <v>5.5438394527056057E-3</v>
      </c>
      <c r="BV13" s="85">
        <f>AT13/Weights!$B$8*8/'Data and calc.'!$BS13*2</f>
        <v>0.63032500659285484</v>
      </c>
      <c r="BW13" s="85">
        <f>BC13/Weights!$B$20*8/'Data and calc.'!$BS13*2</f>
        <v>0.10691132587245891</v>
      </c>
      <c r="BX13" s="85">
        <f>BD13/Weights!$B$10*8/'Data and calc.'!$BS13</f>
        <v>0.13333565568011296</v>
      </c>
      <c r="BY13" s="85">
        <f>AV13/Weights!$B$11*8/'Data and calc.'!$BS13</f>
        <v>4.7204382576177479E-3</v>
      </c>
      <c r="BZ13" s="85">
        <f>AW13/Weights!$B$13*8/'Data and calc.'!$BS13</f>
        <v>0.55225402621392394</v>
      </c>
      <c r="CA13" s="85">
        <f>AX13/Weights!$B$14*8/'Data and calc.'!$BS13</f>
        <v>0.31458252022842254</v>
      </c>
      <c r="CB13" s="85">
        <f>AY13/Weights!$B$15*8/'Data and calc.'!$BS13*2</f>
        <v>0.16962900699136541</v>
      </c>
      <c r="CC13" s="85">
        <f>AZ13/Weights!$B$16*8/'Data and calc.'!$BS13*2</f>
        <v>2.9813173392230975E-2</v>
      </c>
      <c r="CD13" s="85">
        <f>BA13/Weights!$B$6*8/'Data and calc.'!$BS13*2</f>
        <v>1.3961450874155118E-3</v>
      </c>
      <c r="CE13" s="85">
        <f>B13/Weights!$B$19*8/'Data and calc.'!$BS13*2</f>
        <v>1.4791896880726456</v>
      </c>
      <c r="CF13" s="85">
        <f t="shared" si="83"/>
        <v>13.041838457811838</v>
      </c>
      <c r="CG13" s="85">
        <f t="shared" si="84"/>
        <v>0.90728360169689826</v>
      </c>
      <c r="CH13" s="85">
        <f t="shared" ref="CH13:CH34" si="101">CE13/SUM(BT13:CD13)</f>
        <v>0.33119717161105688</v>
      </c>
      <c r="CI13" s="85">
        <f>AR13/Weights!$B$5*2+AS13/Weights!$B$7*2+AT13/Weights!$B$8*3+'Data and calc.'!BC13/Weights!$B$20*3+'Data and calc.'!BD13/Weights!$B$10+'Data and calc.'!AV13/Weights!$B$11+'Data and calc.'!AW13/Weights!$B$13+'Data and calc.'!AX13/Weights!$B$14+'Data and calc.'!AY13/Weights!$B$15+AZ13/Weights!$B$16+'Data and calc.'!BA13/Weights!$B$6*5</f>
        <v>2.7681933911413901</v>
      </c>
      <c r="CJ13" s="84">
        <f>AR13/Weights!$B$5*8/'Data and calc.'!$CI13</f>
        <v>2.774147600252777</v>
      </c>
      <c r="CK13" s="85">
        <f>AS13/Weights!$B$7*8/'Data and calc.'!$CI13</f>
        <v>6.1085730987361338E-3</v>
      </c>
      <c r="CL13" s="85">
        <f>AT13/Weights!$B$8*8/'Data and calc.'!$CI13*2</f>
        <v>0.69453425042001415</v>
      </c>
      <c r="CM13" s="85">
        <f>BC13/Weights!$B$20*8/'Data and calc.'!$CI13*2</f>
        <v>0.11780204941829422</v>
      </c>
      <c r="CN13" s="85">
        <f>BD13/Weights!$B$10*8/'Data and calc.'!$CI13</f>
        <v>0.14691814334420875</v>
      </c>
      <c r="CO13" s="85">
        <f>AV13/Weights!$B$11*8/'Data and calc.'!$CI13</f>
        <v>5.2012945902782217E-3</v>
      </c>
      <c r="CP13" s="85">
        <f>AW13/Weights!$B$13*8/'Data and calc.'!$CI13</f>
        <v>0.60851042260120047</v>
      </c>
      <c r="CQ13" s="85">
        <f>AX13/Weights!$B$14*8/'Data and calc.'!$CI13</f>
        <v>0.34662806107455346</v>
      </c>
      <c r="CR13" s="85">
        <f>AY13/Weights!$B$15*8/'Data and calc.'!$CI13*2</f>
        <v>0.18690858523456655</v>
      </c>
      <c r="CS13" s="85">
        <f>AZ13/Weights!$B$16*8/'Data and calc.'!$CI13*2</f>
        <v>3.2850148444118182E-2</v>
      </c>
      <c r="CT13" s="85">
        <f>BA13/Weights!$B$6*8/'Data and calc.'!$CI13*2</f>
        <v>1.5383660359711161E-3</v>
      </c>
      <c r="CU13" s="85">
        <f t="shared" si="85"/>
        <v>8</v>
      </c>
      <c r="CV13" s="85">
        <f t="shared" si="86"/>
        <v>14.370369892759285</v>
      </c>
      <c r="CW13" s="85">
        <f t="shared" si="87"/>
        <v>0.45360839544202042</v>
      </c>
      <c r="CX13" s="113"/>
      <c r="CY13" s="90">
        <f t="shared" si="88"/>
        <v>5.9205831633722124E-2</v>
      </c>
      <c r="CZ13" s="91">
        <f t="shared" si="89"/>
        <v>5.5896436618369902</v>
      </c>
      <c r="DA13" s="85">
        <f t="shared" si="90"/>
        <v>0.50964366183699017</v>
      </c>
      <c r="DB13" s="85">
        <f t="shared" si="91"/>
        <v>0.50964366183699017</v>
      </c>
      <c r="DC13" s="85">
        <f t="shared" si="92"/>
        <v>0.25973666205061641</v>
      </c>
      <c r="DD13" s="117"/>
      <c r="DE13" s="97"/>
      <c r="DF13" s="91">
        <f t="shared" si="93"/>
        <v>5.5906065820729269</v>
      </c>
      <c r="DG13" s="85">
        <f t="shared" si="94"/>
        <v>0.51060658207292686</v>
      </c>
      <c r="DH13" s="85">
        <f t="shared" si="95"/>
        <v>0.51060658207292686</v>
      </c>
      <c r="DI13" s="85">
        <f>DG13^2</f>
        <v>0.26071908165619662</v>
      </c>
      <c r="DK13" s="117"/>
      <c r="DL13" s="99">
        <f>'Eq. 3 coef.'!$B$15+'Eq. 3 coef.'!$B$16*'Data and calc.'!G13^2+'Eq. 3 coef.'!$B$17*'Data and calc.'!G13+'Eq. 3 coef.'!$B$18*'Data and calc.'!BF13+'Eq. 3 coef.'!$B$19*'Data and calc.'!BG13+'Eq. 3 coef.'!$B$20*'Data and calc.'!BH13+'Eq. 3 coef.'!$B$21*'Data and calc.'!BI13+'Eq. 3 coef.'!$B$22*'Data and calc.'!BJ13+'Eq. 3 coef.'!$B$23*'Data and calc.'!BK13+'Eq. 3 coef.'!$B$24*'Data and calc.'!BL13+'Eq. 3 coef.'!$B$25*'Data and calc.'!BM13+'Eq. 3 coef.'!$B$26*'Data and calc.'!BN13+'Eq. 3 coef.'!$B$27*'Data and calc.'!BO13+'Eq. 3 coef.'!$B$28*'Data and calc.'!BP13</f>
        <v>5.1395680895034275</v>
      </c>
      <c r="DM13" s="85">
        <f t="shared" si="96"/>
        <v>5.9568089503427402E-2</v>
      </c>
      <c r="DN13" s="85">
        <f t="shared" si="97"/>
        <v>5.9568089503427402E-2</v>
      </c>
      <c r="DO13" s="85">
        <f t="shared" si="33"/>
        <v>3.5483572870883377E-3</v>
      </c>
      <c r="DP13" s="117"/>
      <c r="DQ13" s="99">
        <f>'Eq. 4 coef.'!$B$15+'Eq. 4 coef.'!$B$16*'Data and calc.'!G13^2+'Eq. 4 coef.'!$B$17*'Data and calc.'!G13+'Eq. 4 coef.'!$B$18*'Data and calc.'!O13+'Eq. 4 coef.'!$B$19*'Data and calc.'!P13+'Eq. 4 coef.'!$B$20*'Data and calc.'!Q13+'Eq. 4 coef.'!$B$21*'Data and calc.'!R13+'Eq. 4 coef.'!$B$22*'Data and calc.'!S13+'Eq. 4 coef.'!$B$23*'Data and calc.'!T13+'Eq. 4 coef.'!$B$24*'Data and calc.'!U13+'Eq. 4 coef.'!$B$25*'Data and calc.'!V13+'Eq. 4 coef.'!$B$26*'Data and calc.'!W13+'Eq. 4 coef.'!$B$27*'Data and calc.'!X13</f>
        <v>5.2974276386654537</v>
      </c>
      <c r="DR13" s="85">
        <f t="shared" si="98"/>
        <v>0.21742763866545367</v>
      </c>
      <c r="DS13" s="85">
        <f t="shared" si="99"/>
        <v>0.21742763866545367</v>
      </c>
      <c r="DT13" s="85">
        <f t="shared" si="100"/>
        <v>4.7274778055635083E-2</v>
      </c>
    </row>
    <row r="14" spans="1:124" ht="15" x14ac:dyDescent="0.2">
      <c r="A14" s="66" t="s">
        <v>485</v>
      </c>
      <c r="B14" s="73">
        <v>5.74</v>
      </c>
      <c r="C14" s="73">
        <v>0.17</v>
      </c>
      <c r="D14" s="126">
        <f t="shared" si="40"/>
        <v>2.9616724738675959</v>
      </c>
      <c r="E14" s="72">
        <f t="shared" si="41"/>
        <v>6.08953957139826E-2</v>
      </c>
      <c r="F14" s="64">
        <f t="shared" si="42"/>
        <v>54.279204525382454</v>
      </c>
      <c r="G14" s="73">
        <v>7.3674421969488471</v>
      </c>
      <c r="H14" s="73">
        <v>0.11305425389738234</v>
      </c>
      <c r="I14" s="126">
        <f>H14*100/G14</f>
        <v>1.5345115831950829</v>
      </c>
      <c r="J14" s="74">
        <v>1180</v>
      </c>
      <c r="K14" s="74">
        <v>430</v>
      </c>
      <c r="L14" s="73">
        <v>0.8332371465544326</v>
      </c>
      <c r="M14" s="70">
        <v>1.8</v>
      </c>
      <c r="N14" s="64">
        <f t="shared" si="43"/>
        <v>1.6415372459887758</v>
      </c>
      <c r="O14" s="76">
        <v>60.683266320835465</v>
      </c>
      <c r="P14" s="73">
        <v>0.1811237483980013</v>
      </c>
      <c r="Q14" s="73">
        <v>12.872559400322492</v>
      </c>
      <c r="R14" s="73">
        <v>7.2759269543381446</v>
      </c>
      <c r="S14" s="73">
        <v>0.15888071174798227</v>
      </c>
      <c r="T14" s="73">
        <v>9.1556955713858788</v>
      </c>
      <c r="U14" s="73">
        <v>7.0031877609694835</v>
      </c>
      <c r="V14" s="73">
        <v>2.0830078316245633</v>
      </c>
      <c r="W14" s="73">
        <v>0.55924147879052155</v>
      </c>
      <c r="X14" s="73">
        <v>2.7091178895122477E-2</v>
      </c>
      <c r="Y14" s="73">
        <f>SUM(O14:X14)</f>
        <v>99.999980957307642</v>
      </c>
      <c r="Z14" s="73">
        <v>2.6422493104150848</v>
      </c>
      <c r="AA14" s="73">
        <v>0.7267255574792747</v>
      </c>
      <c r="AB14" s="59">
        <f t="shared" si="44"/>
        <v>3.1954900807568163</v>
      </c>
      <c r="AC14" s="60">
        <f t="shared" si="45"/>
        <v>4.3971070617644363</v>
      </c>
      <c r="AD14" s="57">
        <f t="shared" si="46"/>
        <v>100.3166701881831</v>
      </c>
      <c r="AE14" s="57"/>
      <c r="AF14" s="57">
        <f t="shared" si="47"/>
        <v>57.20004683401951</v>
      </c>
      <c r="AG14" s="57">
        <f t="shared" si="48"/>
        <v>0.17072724523995603</v>
      </c>
      <c r="AH14" s="57">
        <f t="shared" si="49"/>
        <v>12.133674490743982</v>
      </c>
      <c r="AI14" s="57">
        <f t="shared" si="50"/>
        <v>6.8582887471591354</v>
      </c>
      <c r="AJ14" s="57">
        <f t="shared" si="51"/>
        <v>0.1497609588936481</v>
      </c>
      <c r="AK14" s="57">
        <f t="shared" si="52"/>
        <v>8.6301586455883292</v>
      </c>
      <c r="AL14" s="57">
        <f t="shared" si="53"/>
        <v>6.6012047834898349</v>
      </c>
      <c r="AM14" s="57">
        <f t="shared" si="54"/>
        <v>1.9634431820893135</v>
      </c>
      <c r="AN14" s="57">
        <f t="shared" si="55"/>
        <v>0.52714101790794565</v>
      </c>
      <c r="AO14" s="57">
        <f t="shared" si="56"/>
        <v>2.5536145226542448E-2</v>
      </c>
      <c r="AP14" s="57">
        <f t="shared" si="57"/>
        <v>94.25998205035819</v>
      </c>
      <c r="AQ14" s="57"/>
      <c r="AR14" s="84">
        <f t="shared" si="58"/>
        <v>57.019483129492322</v>
      </c>
      <c r="AS14" s="85">
        <f t="shared" si="59"/>
        <v>0.17018830959968109</v>
      </c>
      <c r="AT14" s="85">
        <f t="shared" si="60"/>
        <v>12.095372053301347</v>
      </c>
      <c r="AU14" s="85">
        <f t="shared" si="61"/>
        <v>6.8366391491002805</v>
      </c>
      <c r="AV14" s="85">
        <f t="shared" si="62"/>
        <v>0.14928820764556172</v>
      </c>
      <c r="AW14" s="85">
        <f t="shared" si="63"/>
        <v>8.6029157760112014</v>
      </c>
      <c r="AX14" s="85">
        <f t="shared" si="64"/>
        <v>6.5803667238024319</v>
      </c>
      <c r="AY14" s="85">
        <f t="shared" si="65"/>
        <v>1.9572451701258713</v>
      </c>
      <c r="AZ14" s="85">
        <f t="shared" si="66"/>
        <v>0.52547698893821615</v>
      </c>
      <c r="BA14" s="85">
        <f t="shared" si="67"/>
        <v>2.5455535135525766E-2</v>
      </c>
      <c r="BB14" s="85">
        <f>SUM(AR14:BA14)</f>
        <v>93.962431043152449</v>
      </c>
      <c r="BC14" s="85">
        <f t="shared" si="68"/>
        <v>3.0025607353903032</v>
      </c>
      <c r="BD14" s="85">
        <f t="shared" si="69"/>
        <v>4.1316294775774853</v>
      </c>
      <c r="BE14" s="85">
        <f t="shared" si="70"/>
        <v>99.99998210701996</v>
      </c>
      <c r="BF14" s="84">
        <f t="shared" si="71"/>
        <v>60.491707118069506</v>
      </c>
      <c r="BG14" s="85">
        <f t="shared" si="72"/>
        <v>0.18055199405864744</v>
      </c>
      <c r="BH14" s="85">
        <f t="shared" si="73"/>
        <v>12.831924520794978</v>
      </c>
      <c r="BI14" s="85">
        <f t="shared" si="74"/>
        <v>3.1854028595271617</v>
      </c>
      <c r="BJ14" s="85">
        <f t="shared" si="75"/>
        <v>4.3832266895581213</v>
      </c>
      <c r="BK14" s="85">
        <f t="shared" si="76"/>
        <v>0.1583791721255694</v>
      </c>
      <c r="BL14" s="85">
        <f t="shared" si="77"/>
        <v>9.1267937364854674</v>
      </c>
      <c r="BM14" s="85">
        <f t="shared" si="78"/>
        <v>6.9810807593915039</v>
      </c>
      <c r="BN14" s="85">
        <f t="shared" si="79"/>
        <v>2.0764323892699674</v>
      </c>
      <c r="BO14" s="85">
        <f t="shared" si="80"/>
        <v>0.55747611811820086</v>
      </c>
      <c r="BP14" s="85">
        <f t="shared" si="81"/>
        <v>2.7005660020714792E-2</v>
      </c>
      <c r="BQ14" s="85">
        <f t="shared" si="82"/>
        <v>99.999981017419842</v>
      </c>
      <c r="BR14" s="85"/>
      <c r="BS14" s="82">
        <f>AR14/Weights!$B$5*2+AS14/Weights!$B$7*2+AT14/Weights!$B$8*3+'Data and calc.'!BC14/Weights!$B$20*3+'Data and calc.'!BD14/Weights!$B$10+'Data and calc.'!AV14/Weights!$B$11+'Data and calc.'!AW14/Weights!$B$13+'Data and calc.'!AX14/Weights!$B$14+'Data and calc.'!AY14/Weights!$B$15+AZ14/Weights!$B$16+B14/Weights!$B$19+'Data and calc.'!BA14/Weights!$B$6*5</f>
        <v>3.0616663861955566</v>
      </c>
      <c r="BT14" s="84">
        <f>AR14/Weights!$B$5*8/'Data and calc.'!$BS14</f>
        <v>2.4797265261361963</v>
      </c>
      <c r="BU14" s="85">
        <f>AS14/Weights!$B$7*8/'Data and calc.'!$BS14</f>
        <v>5.5680785012300832E-3</v>
      </c>
      <c r="BV14" s="85">
        <f>AT14/Weights!$B$8*8/'Data and calc.'!$BS14*2</f>
        <v>0.61994219054238897</v>
      </c>
      <c r="BW14" s="85">
        <f>BC14/Weights!$B$20*8/'Data and calc.'!$BS14*2</f>
        <v>9.8261718567957873E-2</v>
      </c>
      <c r="BX14" s="85">
        <f>BD14/Weights!$B$10*8/'Data and calc.'!$BS14</f>
        <v>0.15026678129469473</v>
      </c>
      <c r="BY14" s="85">
        <f>AV14/Weights!$B$11*8/'Data and calc.'!$BS14</f>
        <v>5.4990103570320163E-3</v>
      </c>
      <c r="BZ14" s="85">
        <f>AW14/Weights!$B$13*8/'Data and calc.'!$BS14</f>
        <v>0.55773723819395593</v>
      </c>
      <c r="CA14" s="85">
        <f>AX14/Weights!$B$14*8/'Data and calc.'!$BS14</f>
        <v>0.30661785887529225</v>
      </c>
      <c r="CB14" s="85">
        <f>AY14/Weights!$B$15*8/'Data and calc.'!$BS14*2</f>
        <v>0.16503118385212126</v>
      </c>
      <c r="CC14" s="85">
        <f>AZ14/Weights!$B$16*8/'Data and calc.'!$BS14*2</f>
        <v>2.9153130882725808E-2</v>
      </c>
      <c r="CD14" s="85">
        <f>BA14/Weights!$B$6*8/'Data and calc.'!$BS14*2</f>
        <v>9.3719587405290442E-4</v>
      </c>
      <c r="CE14" s="85">
        <f>B14/Weights!$B$19*8/'Data and calc.'!$BS14*2</f>
        <v>1.6650977825721895</v>
      </c>
      <c r="CF14" s="85">
        <f t="shared" si="83"/>
        <v>12.813994054991094</v>
      </c>
      <c r="CG14" s="85">
        <f t="shared" si="84"/>
        <v>0.99453954210879203</v>
      </c>
      <c r="CH14" s="85">
        <f t="shared" si="101"/>
        <v>0.37682629856034056</v>
      </c>
      <c r="CI14" s="85">
        <f>AR14/Weights!$B$5*2+AS14/Weights!$B$7*2+AT14/Weights!$B$8*3+'Data and calc.'!BC14/Weights!$B$20*3+'Data and calc.'!BD14/Weights!$B$10+'Data and calc.'!AV14/Weights!$B$11+'Data and calc.'!AW14/Weights!$B$13+'Data and calc.'!AX14/Weights!$B$14+'Data and calc.'!AY14/Weights!$B$15+AZ14/Weights!$B$16+'Data and calc.'!BA14/Weights!$B$6*5</f>
        <v>2.7430430167811797</v>
      </c>
      <c r="CJ14" s="84">
        <f>AR14/Weights!$B$5*8/'Data and calc.'!$CI14</f>
        <v>2.7677638686605812</v>
      </c>
      <c r="CK14" s="85">
        <f>AS14/Weights!$B$7*8/'Data and calc.'!$CI14</f>
        <v>6.2148492308074562E-3</v>
      </c>
      <c r="CL14" s="85">
        <f>AT14/Weights!$B$8*8/'Data and calc.'!$CI14*2</f>
        <v>0.69195275267514578</v>
      </c>
      <c r="CM14" s="85">
        <f>BC14/Weights!$B$20*8/'Data and calc.'!$CI14*2</f>
        <v>0.10967549504285577</v>
      </c>
      <c r="CN14" s="85">
        <f>BD14/Weights!$B$10*8/'Data and calc.'!$CI14</f>
        <v>0.16772130456474971</v>
      </c>
      <c r="CO14" s="85">
        <f>AV14/Weights!$B$11*8/'Data and calc.'!$CI14</f>
        <v>6.137758345190843E-3</v>
      </c>
      <c r="CP14" s="85">
        <f>AW14/Weights!$B$13*8/'Data and calc.'!$CI14</f>
        <v>0.62252226598756255</v>
      </c>
      <c r="CQ14" s="85">
        <f>AX14/Weights!$B$14*8/'Data and calc.'!$CI14</f>
        <v>0.34223363840182269</v>
      </c>
      <c r="CR14" s="85">
        <f>AY14/Weights!$B$15*8/'Data and calc.'!$CI14*2</f>
        <v>0.18420069433216821</v>
      </c>
      <c r="CS14" s="85">
        <f>AZ14/Weights!$B$16*8/'Data and calc.'!$CI14*2</f>
        <v>3.2539468149041247E-2</v>
      </c>
      <c r="CT14" s="85">
        <f>BA14/Weights!$B$6*8/'Data and calc.'!$CI14*2</f>
        <v>1.0460576401153247E-3</v>
      </c>
      <c r="CU14" s="85">
        <f t="shared" si="85"/>
        <v>7.9999999999999982</v>
      </c>
      <c r="CV14" s="85">
        <f t="shared" si="86"/>
        <v>14.302427862437561</v>
      </c>
      <c r="CW14" s="85">
        <f t="shared" si="87"/>
        <v>0.47476474732538781</v>
      </c>
      <c r="CX14" s="113"/>
      <c r="CY14" s="90">
        <f t="shared" si="88"/>
        <v>5.9763677315729576E-2</v>
      </c>
      <c r="CZ14" s="91">
        <f t="shared" si="89"/>
        <v>5.6393400335350909</v>
      </c>
      <c r="DA14" s="85">
        <f t="shared" si="90"/>
        <v>-0.10065996646490927</v>
      </c>
      <c r="DB14" s="85">
        <f t="shared" si="91"/>
        <v>0.10065996646490927</v>
      </c>
      <c r="DC14" s="85">
        <f t="shared" si="92"/>
        <v>1.0132428848716658E-2</v>
      </c>
      <c r="DD14" s="117"/>
      <c r="DE14" s="97"/>
      <c r="DF14" s="91">
        <f t="shared" si="93"/>
        <v>5.6395933692021503</v>
      </c>
      <c r="DG14" s="85">
        <f t="shared" si="94"/>
        <v>-0.10040663079784995</v>
      </c>
      <c r="DH14" s="85">
        <f t="shared" si="95"/>
        <v>0.10040663079784995</v>
      </c>
      <c r="DI14" s="85">
        <f>DG14^2</f>
        <v>1.0081491508175749E-2</v>
      </c>
      <c r="DK14" s="117"/>
      <c r="DL14" s="99">
        <f>'Eq. 3 coef.'!$B$15+'Eq. 3 coef.'!$B$16*'Data and calc.'!G14^2+'Eq. 3 coef.'!$B$17*'Data and calc.'!G14+'Eq. 3 coef.'!$B$18*'Data and calc.'!BF14+'Eq. 3 coef.'!$B$19*'Data and calc.'!BG14+'Eq. 3 coef.'!$B$20*'Data and calc.'!BH14+'Eq. 3 coef.'!$B$21*'Data and calc.'!BI14+'Eq. 3 coef.'!$B$22*'Data and calc.'!BJ14+'Eq. 3 coef.'!$B$23*'Data and calc.'!BK14+'Eq. 3 coef.'!$B$24*'Data and calc.'!BL14+'Eq. 3 coef.'!$B$25*'Data and calc.'!BM14+'Eq. 3 coef.'!$B$26*'Data and calc.'!BN14+'Eq. 3 coef.'!$B$27*'Data and calc.'!BO14+'Eq. 3 coef.'!$B$28*'Data and calc.'!BP14</f>
        <v>5.4057371711166411</v>
      </c>
      <c r="DM14" s="85">
        <f t="shared" si="96"/>
        <v>-0.33426282888335912</v>
      </c>
      <c r="DN14" s="85">
        <f t="shared" si="97"/>
        <v>0.33426282888335912</v>
      </c>
      <c r="DO14" s="85">
        <f t="shared" si="33"/>
        <v>0.11173163877310582</v>
      </c>
      <c r="DP14" s="117"/>
      <c r="DQ14" s="99">
        <f>'Eq. 4 coef.'!$B$15+'Eq. 4 coef.'!$B$16*'Data and calc.'!G14^2+'Eq. 4 coef.'!$B$17*'Data and calc.'!G14+'Eq. 4 coef.'!$B$18*'Data and calc.'!O14+'Eq. 4 coef.'!$B$19*'Data and calc.'!P14+'Eq. 4 coef.'!$B$20*'Data and calc.'!Q14+'Eq. 4 coef.'!$B$21*'Data and calc.'!R14+'Eq. 4 coef.'!$B$22*'Data and calc.'!S14+'Eq. 4 coef.'!$B$23*'Data and calc.'!T14+'Eq. 4 coef.'!$B$24*'Data and calc.'!U14+'Eq. 4 coef.'!$B$25*'Data and calc.'!V14+'Eq. 4 coef.'!$B$26*'Data and calc.'!W14+'Eq. 4 coef.'!$B$27*'Data and calc.'!X14</f>
        <v>5.439121320985322</v>
      </c>
      <c r="DR14" s="85">
        <f t="shared" si="98"/>
        <v>-0.30087867901467824</v>
      </c>
      <c r="DS14" s="85">
        <f t="shared" si="99"/>
        <v>0.30087867901467824</v>
      </c>
      <c r="DT14" s="85">
        <f t="shared" si="100"/>
        <v>9.0527979485617777E-2</v>
      </c>
    </row>
    <row r="15" spans="1:124" ht="15" x14ac:dyDescent="0.2">
      <c r="A15" s="66" t="s">
        <v>483</v>
      </c>
      <c r="B15" s="73">
        <v>3.08</v>
      </c>
      <c r="C15" s="73">
        <v>0.11</v>
      </c>
      <c r="D15" s="126">
        <f t="shared" si="40"/>
        <v>3.5714285714285712</v>
      </c>
      <c r="E15" s="72">
        <f t="shared" si="41"/>
        <v>3.1778786628146927E-2</v>
      </c>
      <c r="F15" s="64">
        <f t="shared" si="42"/>
        <v>19.856561634494973</v>
      </c>
      <c r="G15" s="73">
        <v>4.4560702008041764</v>
      </c>
      <c r="H15" s="73">
        <v>0.12812397501534073</v>
      </c>
      <c r="I15" s="126">
        <f>H15*100/G15</f>
        <v>2.8752683248172013</v>
      </c>
      <c r="J15" s="74">
        <v>1150</v>
      </c>
      <c r="K15" s="74">
        <v>200</v>
      </c>
      <c r="L15" s="73">
        <v>0.63824641908283175</v>
      </c>
      <c r="M15" s="70">
        <v>1.8</v>
      </c>
      <c r="N15" s="64">
        <f t="shared" si="43"/>
        <v>1.4099767736993711</v>
      </c>
      <c r="O15" s="76">
        <v>61.311329560612549</v>
      </c>
      <c r="P15" s="73">
        <v>0.22605036213173718</v>
      </c>
      <c r="Q15" s="73">
        <v>14.231901257176697</v>
      </c>
      <c r="R15" s="73">
        <v>7.5492887637790025</v>
      </c>
      <c r="S15" s="73">
        <v>0.10859628960908278</v>
      </c>
      <c r="T15" s="73">
        <v>6.4972552048364465</v>
      </c>
      <c r="U15" s="73">
        <v>6.896203696276566</v>
      </c>
      <c r="V15" s="73">
        <v>2.0859025455454399</v>
      </c>
      <c r="W15" s="73">
        <v>1.0309829644052693</v>
      </c>
      <c r="X15" s="73">
        <v>6.2473384598384647E-2</v>
      </c>
      <c r="Y15" s="73">
        <f>SUM(O15:X15)</f>
        <v>99.999984028971184</v>
      </c>
      <c r="Z15" s="73">
        <v>3.1168855099507091</v>
      </c>
      <c r="AA15" s="73">
        <v>0.64629421743578808</v>
      </c>
      <c r="AB15" s="59">
        <f t="shared" si="44"/>
        <v>3.0836282464145337</v>
      </c>
      <c r="AC15" s="60">
        <f t="shared" si="45"/>
        <v>4.7712452985406841</v>
      </c>
      <c r="AD15" s="57">
        <f t="shared" si="46"/>
        <v>100.30558478117621</v>
      </c>
      <c r="AE15" s="57"/>
      <c r="AF15" s="57">
        <f t="shared" si="47"/>
        <v>59.422940610145687</v>
      </c>
      <c r="AG15" s="57">
        <f t="shared" si="48"/>
        <v>0.21908801097807967</v>
      </c>
      <c r="AH15" s="57">
        <f t="shared" si="49"/>
        <v>13.793558698455653</v>
      </c>
      <c r="AI15" s="57">
        <f t="shared" si="50"/>
        <v>7.3167706698546091</v>
      </c>
      <c r="AJ15" s="57">
        <f t="shared" si="51"/>
        <v>0.10525152388912304</v>
      </c>
      <c r="AK15" s="57">
        <f t="shared" si="52"/>
        <v>6.2971397445274837</v>
      </c>
      <c r="AL15" s="57">
        <f t="shared" si="53"/>
        <v>6.6838006224312485</v>
      </c>
      <c r="AM15" s="57">
        <f t="shared" si="54"/>
        <v>2.0216567471426403</v>
      </c>
      <c r="AN15" s="57">
        <f t="shared" si="55"/>
        <v>0.99922868910158702</v>
      </c>
      <c r="AO15" s="57">
        <f t="shared" si="56"/>
        <v>6.0549204352754397E-2</v>
      </c>
      <c r="AP15" s="57">
        <f t="shared" si="57"/>
        <v>96.919984520878856</v>
      </c>
      <c r="AQ15" s="57"/>
      <c r="AR15" s="84">
        <f t="shared" si="58"/>
        <v>59.241906360230168</v>
      </c>
      <c r="AS15" s="85">
        <f t="shared" si="59"/>
        <v>0.21842055101521596</v>
      </c>
      <c r="AT15" s="85">
        <f t="shared" si="60"/>
        <v>13.751536096965376</v>
      </c>
      <c r="AU15" s="85">
        <f t="shared" si="61"/>
        <v>7.2944798495683632</v>
      </c>
      <c r="AV15" s="85">
        <f t="shared" si="62"/>
        <v>0.1049308711162362</v>
      </c>
      <c r="AW15" s="85">
        <f t="shared" si="63"/>
        <v>6.2779552686574167</v>
      </c>
      <c r="AX15" s="85">
        <f t="shared" si="64"/>
        <v>6.663438169482224</v>
      </c>
      <c r="AY15" s="85">
        <f t="shared" si="65"/>
        <v>2.0154976929280948</v>
      </c>
      <c r="AZ15" s="85">
        <f t="shared" si="66"/>
        <v>0.99618450087447841</v>
      </c>
      <c r="BA15" s="85">
        <f t="shared" si="67"/>
        <v>6.0364738897486926E-2</v>
      </c>
      <c r="BB15" s="85">
        <f>SUM(AR15:BA15)</f>
        <v>96.624714099735058</v>
      </c>
      <c r="BC15" s="85">
        <f t="shared" si="68"/>
        <v>2.9795474528610995</v>
      </c>
      <c r="BD15" s="85">
        <f t="shared" si="69"/>
        <v>4.6102028650088149</v>
      </c>
      <c r="BE15" s="85">
        <f t="shared" si="70"/>
        <v>99.999984568036609</v>
      </c>
      <c r="BF15" s="84">
        <f t="shared" si="71"/>
        <v>61.124542261896579</v>
      </c>
      <c r="BG15" s="85">
        <f t="shared" si="72"/>
        <v>0.22536169110113077</v>
      </c>
      <c r="BH15" s="85">
        <f t="shared" si="73"/>
        <v>14.188543228400098</v>
      </c>
      <c r="BI15" s="85">
        <f t="shared" si="74"/>
        <v>3.0742338556140107</v>
      </c>
      <c r="BJ15" s="85">
        <f t="shared" si="75"/>
        <v>4.7567095181684014</v>
      </c>
      <c r="BK15" s="85">
        <f t="shared" si="76"/>
        <v>0.10826544688014465</v>
      </c>
      <c r="BL15" s="85">
        <f t="shared" si="77"/>
        <v>6.477461069601131</v>
      </c>
      <c r="BM15" s="85">
        <f t="shared" si="78"/>
        <v>6.8751941492800492</v>
      </c>
      <c r="BN15" s="85">
        <f t="shared" si="79"/>
        <v>2.079547764061179</v>
      </c>
      <c r="BO15" s="85">
        <f t="shared" si="80"/>
        <v>1.0278420355700355</v>
      </c>
      <c r="BP15" s="85">
        <f t="shared" si="81"/>
        <v>6.2283057054773959E-2</v>
      </c>
      <c r="BQ15" s="85">
        <f t="shared" si="82"/>
        <v>99.999984077627516</v>
      </c>
      <c r="BR15" s="85"/>
      <c r="BS15" s="82">
        <f>AR15/Weights!$B$5*2+AS15/Weights!$B$7*2+AT15/Weights!$B$8*3+'Data and calc.'!BC15/Weights!$B$20*3+'Data and calc.'!BD15/Weights!$B$10+'Data and calc.'!AV15/Weights!$B$11+'Data and calc.'!AW15/Weights!$B$13+'Data and calc.'!AX15/Weights!$B$14+'Data and calc.'!AY15/Weights!$B$15+AZ15/Weights!$B$16+B15/Weights!$B$19+'Data and calc.'!BA15/Weights!$B$6*5</f>
        <v>2.9944938319976675</v>
      </c>
      <c r="BT15" s="84">
        <f>AR15/Weights!$B$5*8/'Data and calc.'!$BS15</f>
        <v>2.6341710969041841</v>
      </c>
      <c r="BU15" s="85">
        <f>AS15/Weights!$B$7*8/'Data and calc.'!$BS15</f>
        <v>7.3064020501628617E-3</v>
      </c>
      <c r="BV15" s="85">
        <f>AT15/Weights!$B$8*8/'Data and calc.'!$BS15*2</f>
        <v>0.72063876159381035</v>
      </c>
      <c r="BW15" s="85">
        <f>BC15/Weights!$B$20*8/'Data and calc.'!$BS15*2</f>
        <v>9.9695901373622831E-2</v>
      </c>
      <c r="BX15" s="85">
        <f>BD15/Weights!$B$10*8/'Data and calc.'!$BS15</f>
        <v>0.17143365962956902</v>
      </c>
      <c r="BY15" s="85">
        <f>AV15/Weights!$B$11*8/'Data and calc.'!$BS15</f>
        <v>3.9518163643304169E-3</v>
      </c>
      <c r="BZ15" s="85">
        <f>AW15/Weights!$B$13*8/'Data and calc.'!$BS15</f>
        <v>0.41613728648560094</v>
      </c>
      <c r="CA15" s="85">
        <f>AX15/Weights!$B$14*8/'Data and calc.'!$BS15</f>
        <v>0.31745353286464906</v>
      </c>
      <c r="CB15" s="85">
        <f>AY15/Weights!$B$15*8/'Data and calc.'!$BS15*2</f>
        <v>0.17375508919133972</v>
      </c>
      <c r="CC15" s="85">
        <f>AZ15/Weights!$B$16*8/'Data and calc.'!$BS15*2</f>
        <v>5.6507451827396207E-2</v>
      </c>
      <c r="CD15" s="85">
        <f>BA15/Weights!$B$6*8/'Data and calc.'!$BS15*2</f>
        <v>2.2723012445744835E-3</v>
      </c>
      <c r="CE15" s="85">
        <f>B15/Weights!$B$19*8/'Data and calc.'!$BS15*2</f>
        <v>0.91350937735040627</v>
      </c>
      <c r="CF15" s="85">
        <f t="shared" si="83"/>
        <v>13.84724864768712</v>
      </c>
      <c r="CG15" s="85">
        <f t="shared" si="84"/>
        <v>0.62185677663048233</v>
      </c>
      <c r="CH15" s="85">
        <f t="shared" si="101"/>
        <v>0.19844562675922126</v>
      </c>
      <c r="CI15" s="85">
        <f>AR15/Weights!$B$5*2+AS15/Weights!$B$7*2+AT15/Weights!$B$8*3+'Data and calc.'!BC15/Weights!$B$20*3+'Data and calc.'!BD15/Weights!$B$10+'Data and calc.'!AV15/Weights!$B$11+'Data and calc.'!AW15/Weights!$B$13+'Data and calc.'!AX15/Weights!$B$14+'Data and calc.'!AY15/Weights!$B$15+AZ15/Weights!$B$16+'Data and calc.'!BA15/Weights!$B$6*5</f>
        <v>2.8235251947509288</v>
      </c>
      <c r="CJ15" s="84">
        <f>AR15/Weights!$B$5*8/'Data and calc.'!$CI15</f>
        <v>2.7936740627532926</v>
      </c>
      <c r="CK15" s="85">
        <f>AS15/Weights!$B$7*8/'Data and calc.'!$CI15</f>
        <v>7.7488155281850817E-3</v>
      </c>
      <c r="CL15" s="85">
        <f>AT15/Weights!$B$8*8/'Data and calc.'!$CI15*2</f>
        <v>0.76427450716672696</v>
      </c>
      <c r="CM15" s="85">
        <f>BC15/Weights!$B$20*8/'Data and calc.'!$CI15*2</f>
        <v>0.1057326360302219</v>
      </c>
      <c r="CN15" s="85">
        <f>BD15/Weights!$B$10*8/'Data and calc.'!$CI15</f>
        <v>0.18181422192084126</v>
      </c>
      <c r="CO15" s="85">
        <f>AV15/Weights!$B$11*8/'Data and calc.'!$CI15</f>
        <v>4.1911047049179116E-3</v>
      </c>
      <c r="CP15" s="85">
        <f>AW15/Weights!$B$13*8/'Data and calc.'!$CI15</f>
        <v>0.44133501622793281</v>
      </c>
      <c r="CQ15" s="85">
        <f>AX15/Weights!$B$14*8/'Data and calc.'!$CI15</f>
        <v>0.33667581499761212</v>
      </c>
      <c r="CR15" s="85">
        <f>AY15/Weights!$B$15*8/'Data and calc.'!$CI15*2</f>
        <v>0.18427621748477768</v>
      </c>
      <c r="CS15" s="85">
        <f>AZ15/Weights!$B$16*8/'Data and calc.'!$CI15*2</f>
        <v>5.9929061824422598E-2</v>
      </c>
      <c r="CT15" s="85">
        <f>BA15/Weights!$B$6*8/'Data and calc.'!$CI15*2</f>
        <v>2.4098924542867942E-3</v>
      </c>
      <c r="CU15" s="85">
        <f t="shared" si="85"/>
        <v>8</v>
      </c>
      <c r="CV15" s="85">
        <f t="shared" si="86"/>
        <v>14.685720085913708</v>
      </c>
      <c r="CW15" s="85">
        <f t="shared" si="87"/>
        <v>0.3579749324915778</v>
      </c>
      <c r="CX15" s="113"/>
      <c r="CY15" s="90">
        <f t="shared" si="88"/>
        <v>3.4696764428923957E-2</v>
      </c>
      <c r="CZ15" s="91">
        <f t="shared" si="89"/>
        <v>3.3533268510870431</v>
      </c>
      <c r="DA15" s="85">
        <f t="shared" si="90"/>
        <v>0.27332685108704302</v>
      </c>
      <c r="DB15" s="85">
        <f t="shared" si="91"/>
        <v>0.27332685108704302</v>
      </c>
      <c r="DC15" s="85">
        <f t="shared" si="92"/>
        <v>7.4707567525158586E-2</v>
      </c>
      <c r="DD15" s="117"/>
      <c r="DE15" s="97"/>
      <c r="DF15" s="91">
        <f t="shared" si="93"/>
        <v>3.3670067888145954</v>
      </c>
      <c r="DG15" s="85">
        <f t="shared" si="94"/>
        <v>0.28700678881459529</v>
      </c>
      <c r="DH15" s="85">
        <f t="shared" si="95"/>
        <v>0.28700678881459529</v>
      </c>
      <c r="DI15" s="85">
        <f>DG15^2</f>
        <v>8.2372896825665703E-2</v>
      </c>
      <c r="DK15" s="117"/>
      <c r="DL15" s="99">
        <f>'Eq. 3 coef.'!$B$15+'Eq. 3 coef.'!$B$16*'Data and calc.'!G15^2+'Eq. 3 coef.'!$B$17*'Data and calc.'!G15+'Eq. 3 coef.'!$B$18*'Data and calc.'!BF15+'Eq. 3 coef.'!$B$19*'Data and calc.'!BG15+'Eq. 3 coef.'!$B$20*'Data and calc.'!BH15+'Eq. 3 coef.'!$B$21*'Data and calc.'!BI15+'Eq. 3 coef.'!$B$22*'Data and calc.'!BJ15+'Eq. 3 coef.'!$B$23*'Data and calc.'!BK15+'Eq. 3 coef.'!$B$24*'Data and calc.'!BL15+'Eq. 3 coef.'!$B$25*'Data and calc.'!BM15+'Eq. 3 coef.'!$B$26*'Data and calc.'!BN15+'Eq. 3 coef.'!$B$27*'Data and calc.'!BO15+'Eq. 3 coef.'!$B$28*'Data and calc.'!BP15</f>
        <v>3.3581202026176697</v>
      </c>
      <c r="DM15" s="85">
        <f t="shared" si="96"/>
        <v>0.27812020261766968</v>
      </c>
      <c r="DN15" s="85">
        <f t="shared" si="97"/>
        <v>0.27812020261766968</v>
      </c>
      <c r="DO15" s="85">
        <f t="shared" si="33"/>
        <v>7.7350847104093637E-2</v>
      </c>
      <c r="DP15" s="117"/>
      <c r="DQ15" s="99">
        <f>'Eq. 4 coef.'!$B$15+'Eq. 4 coef.'!$B$16*'Data and calc.'!G15^2+'Eq. 4 coef.'!$B$17*'Data and calc.'!G15+'Eq. 4 coef.'!$B$18*'Data and calc.'!O15+'Eq. 4 coef.'!$B$19*'Data and calc.'!P15+'Eq. 4 coef.'!$B$20*'Data and calc.'!Q15+'Eq. 4 coef.'!$B$21*'Data and calc.'!R15+'Eq. 4 coef.'!$B$22*'Data and calc.'!S15+'Eq. 4 coef.'!$B$23*'Data and calc.'!T15+'Eq. 4 coef.'!$B$24*'Data and calc.'!U15+'Eq. 4 coef.'!$B$25*'Data and calc.'!V15+'Eq. 4 coef.'!$B$26*'Data and calc.'!W15+'Eq. 4 coef.'!$B$27*'Data and calc.'!X15</f>
        <v>3.4041950791095132</v>
      </c>
      <c r="DR15" s="85">
        <f t="shared" si="98"/>
        <v>0.32419507910951317</v>
      </c>
      <c r="DS15" s="85">
        <f t="shared" si="99"/>
        <v>0.32419507910951317</v>
      </c>
      <c r="DT15" s="85">
        <f t="shared" si="100"/>
        <v>0.10510244931882351</v>
      </c>
    </row>
    <row r="16" spans="1:124" ht="15" x14ac:dyDescent="0.2">
      <c r="A16" s="66" t="s">
        <v>482</v>
      </c>
      <c r="B16" s="73">
        <v>3.4</v>
      </c>
      <c r="C16" s="73">
        <v>0.12</v>
      </c>
      <c r="D16" s="126">
        <f t="shared" si="40"/>
        <v>3.5294117647058822</v>
      </c>
      <c r="E16" s="72">
        <f t="shared" si="41"/>
        <v>3.5196687370600416E-2</v>
      </c>
      <c r="F16" s="64">
        <f t="shared" si="42"/>
        <v>25.317276872635535</v>
      </c>
      <c r="G16" s="73">
        <v>5.0316276563986264</v>
      </c>
      <c r="H16" s="73">
        <v>9.445088675569431E-2</v>
      </c>
      <c r="I16" s="126">
        <f t="shared" ref="I16:I21" si="102">H16*100/G16</f>
        <v>1.8771438032697609</v>
      </c>
      <c r="J16" s="74">
        <v>1150</v>
      </c>
      <c r="K16" s="74">
        <v>200</v>
      </c>
      <c r="L16" s="73">
        <v>0.69943527551645679</v>
      </c>
      <c r="M16" s="70">
        <v>1.8</v>
      </c>
      <c r="N16" s="64">
        <f t="shared" si="43"/>
        <v>1.4894950637125695</v>
      </c>
      <c r="O16" s="76">
        <v>62.29977470449586</v>
      </c>
      <c r="P16" s="73">
        <v>0.23310932971082809</v>
      </c>
      <c r="Q16" s="73">
        <v>14.392806414075753</v>
      </c>
      <c r="R16" s="73">
        <v>6.0852780376335511</v>
      </c>
      <c r="S16" s="73">
        <v>0.12411010443443797</v>
      </c>
      <c r="T16" s="73">
        <v>6.5655682284315073</v>
      </c>
      <c r="U16" s="73">
        <v>6.7996425759892594</v>
      </c>
      <c r="V16" s="73">
        <v>2.4211058601572275</v>
      </c>
      <c r="W16" s="73">
        <v>1.034927430685894</v>
      </c>
      <c r="X16" s="73">
        <v>4.3677314385680295E-2</v>
      </c>
      <c r="Y16" s="73">
        <f t="shared" ref="Y16:Y23" si="103">SUM(O16:X16)</f>
        <v>99.999999999999986</v>
      </c>
      <c r="Z16" s="73">
        <v>3.4560332908431217</v>
      </c>
      <c r="AA16" s="73">
        <v>0.94003663164106777</v>
      </c>
      <c r="AB16" s="59">
        <f t="shared" si="44"/>
        <v>3.0973234530029337</v>
      </c>
      <c r="AC16" s="60">
        <f t="shared" si="45"/>
        <v>3.2948965484417192</v>
      </c>
      <c r="AD16" s="57">
        <f t="shared" si="46"/>
        <v>100.30694196381108</v>
      </c>
      <c r="AE16" s="57"/>
      <c r="AF16" s="57">
        <f t="shared" si="47"/>
        <v>60.181582364543004</v>
      </c>
      <c r="AG16" s="57">
        <f t="shared" si="48"/>
        <v>0.22518361250065994</v>
      </c>
      <c r="AH16" s="57">
        <f t="shared" si="49"/>
        <v>13.903450995997177</v>
      </c>
      <c r="AI16" s="57">
        <f t="shared" si="50"/>
        <v>5.8783785843540102</v>
      </c>
      <c r="AJ16" s="57">
        <f t="shared" si="51"/>
        <v>0.11989036088366706</v>
      </c>
      <c r="AK16" s="57">
        <f t="shared" si="52"/>
        <v>6.3423389086648356</v>
      </c>
      <c r="AL16" s="57">
        <f t="shared" si="53"/>
        <v>6.5684547284056238</v>
      </c>
      <c r="AM16" s="57">
        <f t="shared" si="54"/>
        <v>2.3387882609118815</v>
      </c>
      <c r="AN16" s="57">
        <f t="shared" si="55"/>
        <v>0.99973989804257357</v>
      </c>
      <c r="AO16" s="57">
        <f t="shared" si="56"/>
        <v>4.2192285696567168E-2</v>
      </c>
      <c r="AP16" s="57">
        <f t="shared" si="57"/>
        <v>96.600000000000023</v>
      </c>
      <c r="AQ16" s="57"/>
      <c r="AR16" s="84">
        <f t="shared" si="58"/>
        <v>59.997425089736481</v>
      </c>
      <c r="AS16" s="85">
        <f t="shared" si="59"/>
        <v>0.22449454453700929</v>
      </c>
      <c r="AT16" s="85">
        <f t="shared" si="60"/>
        <v>13.860906058738475</v>
      </c>
      <c r="AU16" s="85">
        <f t="shared" si="61"/>
        <v>5.8603905864011105</v>
      </c>
      <c r="AV16" s="85">
        <f t="shared" si="62"/>
        <v>0.11952349312664852</v>
      </c>
      <c r="AW16" s="85">
        <f t="shared" si="63"/>
        <v>6.3229311795319569</v>
      </c>
      <c r="AX16" s="85">
        <f t="shared" si="64"/>
        <v>6.5483550787296476</v>
      </c>
      <c r="AY16" s="85">
        <f t="shared" si="65"/>
        <v>2.3316315053804288</v>
      </c>
      <c r="AZ16" s="85">
        <f t="shared" si="66"/>
        <v>0.99668066683087742</v>
      </c>
      <c r="BA16" s="85">
        <f t="shared" si="67"/>
        <v>4.2063176157627627E-2</v>
      </c>
      <c r="BB16" s="85">
        <f t="shared" ref="BB16:BB23" si="104">SUM(AR16:BA16)</f>
        <v>96.304401379170272</v>
      </c>
      <c r="BC16" s="85">
        <f t="shared" si="68"/>
        <v>2.9828588101911211</v>
      </c>
      <c r="BD16" s="85">
        <f t="shared" si="69"/>
        <v>3.1731303970397406</v>
      </c>
      <c r="BE16" s="85">
        <f t="shared" si="70"/>
        <v>100.00000000000003</v>
      </c>
      <c r="BF16" s="84">
        <f t="shared" si="71"/>
        <v>62.109135703660954</v>
      </c>
      <c r="BG16" s="85">
        <f t="shared" si="72"/>
        <v>0.23239600883748376</v>
      </c>
      <c r="BH16" s="85">
        <f t="shared" si="73"/>
        <v>14.348764035961157</v>
      </c>
      <c r="BI16" s="85">
        <f t="shared" si="74"/>
        <v>3.0878455592040588</v>
      </c>
      <c r="BJ16" s="85">
        <f t="shared" si="75"/>
        <v>3.2848140756104978</v>
      </c>
      <c r="BK16" s="85">
        <f t="shared" si="76"/>
        <v>0.12373032414766928</v>
      </c>
      <c r="BL16" s="85">
        <f t="shared" si="77"/>
        <v>6.5454774115237662</v>
      </c>
      <c r="BM16" s="85">
        <f t="shared" si="78"/>
        <v>6.7788354852273782</v>
      </c>
      <c r="BN16" s="85">
        <f t="shared" si="79"/>
        <v>2.4136972105387464</v>
      </c>
      <c r="BO16" s="85">
        <f t="shared" si="80"/>
        <v>1.0317605246696455</v>
      </c>
      <c r="BP16" s="85">
        <f t="shared" si="81"/>
        <v>4.3543660618662147E-2</v>
      </c>
      <c r="BQ16" s="85">
        <f t="shared" si="82"/>
        <v>100.00000000000001</v>
      </c>
      <c r="BR16" s="85"/>
      <c r="BS16" s="82">
        <f>AR16/Weights!$B$5*2+AS16/Weights!$B$7*2+AT16/Weights!$B$8*3+'Data and calc.'!BC16/Weights!$B$20*3+'Data and calc.'!BD16/Weights!$B$10+'Data and calc.'!AV16/Weights!$B$11+'Data and calc.'!AW16/Weights!$B$13+'Data and calc.'!AX16/Weights!$B$14+'Data and calc.'!AY16/Weights!$B$15+AZ16/Weights!$B$16+B16/Weights!$B$19+'Data and calc.'!BA16/Weights!$B$6*5</f>
        <v>3.0245663167815371</v>
      </c>
      <c r="BT16" s="84">
        <f>AR16/Weights!$B$5*8/'Data and calc.'!$BS16</f>
        <v>2.6412400778430483</v>
      </c>
      <c r="BU16" s="85">
        <f>AS16/Weights!$B$7*8/'Data and calc.'!$BS16</f>
        <v>7.4349177995248093E-3</v>
      </c>
      <c r="BV16" s="85">
        <f>AT16/Weights!$B$8*8/'Data and calc.'!$BS16*2</f>
        <v>0.71914809888853848</v>
      </c>
      <c r="BW16" s="85">
        <f>BC16/Weights!$B$20*8/'Data and calc.'!$BS16*2</f>
        <v>9.8814347322290941E-2</v>
      </c>
      <c r="BX16" s="85">
        <f>BD16/Weights!$B$10*8/'Data and calc.'!$BS16</f>
        <v>0.11682190687362083</v>
      </c>
      <c r="BY16" s="85">
        <f>AV16/Weights!$B$11*8/'Data and calc.'!$BS16</f>
        <v>4.4566349895615769E-3</v>
      </c>
      <c r="BZ16" s="85">
        <f>AW16/Weights!$B$13*8/'Data and calc.'!$BS16</f>
        <v>0.41495134859998689</v>
      </c>
      <c r="CA16" s="85">
        <f>AX16/Weights!$B$14*8/'Data and calc.'!$BS16</f>
        <v>0.30886900179928739</v>
      </c>
      <c r="CB16" s="85">
        <f>AY16/Weights!$B$15*8/'Data and calc.'!$BS16*2</f>
        <v>0.199010254380942</v>
      </c>
      <c r="CC16" s="85">
        <f>AZ16/Weights!$B$16*8/'Data and calc.'!$BS16*2</f>
        <v>5.5973477396980137E-2</v>
      </c>
      <c r="CD16" s="85">
        <f>BA16/Weights!$B$6*8/'Data and calc.'!$BS16*2</f>
        <v>1.5676350108963027E-3</v>
      </c>
      <c r="CE16" s="85">
        <f>B16/Weights!$B$19*8/'Data and calc.'!$BS16*2</f>
        <v>0.99839298743990224</v>
      </c>
      <c r="CF16" s="85">
        <f t="shared" si="83"/>
        <v>13.866549767413609</v>
      </c>
      <c r="CG16" s="85">
        <f t="shared" si="84"/>
        <v>0.61542352448768434</v>
      </c>
      <c r="CH16" s="85">
        <f t="shared" si="101"/>
        <v>0.2185486232056239</v>
      </c>
      <c r="CI16" s="85">
        <f>AR16/Weights!$B$5*2+AS16/Weights!$B$7*2+AT16/Weights!$B$8*3+'Data and calc.'!BC16/Weights!$B$20*3+'Data and calc.'!BD16/Weights!$B$10+'Data and calc.'!AV16/Weights!$B$11+'Data and calc.'!AW16/Weights!$B$13+'Data and calc.'!AX16/Weights!$B$14+'Data and calc.'!AY16/Weights!$B$15+AZ16/Weights!$B$16+'Data and calc.'!BA16/Weights!$B$6*5</f>
        <v>2.8358347042364356</v>
      </c>
      <c r="CJ16" s="84">
        <f>AR16/Weights!$B$5*8/'Data and calc.'!$CI16</f>
        <v>2.8170209504959516</v>
      </c>
      <c r="CK16" s="85">
        <f>AS16/Weights!$B$7*8/'Data and calc.'!$CI16</f>
        <v>7.9297294411724544E-3</v>
      </c>
      <c r="CL16" s="85">
        <f>AT16/Weights!$B$8*8/'Data and calc.'!$CI16*2</f>
        <v>0.76700913259378856</v>
      </c>
      <c r="CM16" s="85">
        <f>BC16/Weights!$B$20*8/'Data and calc.'!$CI16*2</f>
        <v>0.10539067953406178</v>
      </c>
      <c r="CN16" s="85">
        <f>BD16/Weights!$B$10*8/'Data and calc.'!$CI16</f>
        <v>0.12459668543596608</v>
      </c>
      <c r="CO16" s="85">
        <f>AV16/Weights!$B$11*8/'Data and calc.'!$CI16</f>
        <v>4.7532347550021904E-3</v>
      </c>
      <c r="CP16" s="85">
        <f>AW16/Weights!$B$13*8/'Data and calc.'!$CI16</f>
        <v>0.44256735775314615</v>
      </c>
      <c r="CQ16" s="85">
        <f>AX16/Weights!$B$14*8/'Data and calc.'!$CI16</f>
        <v>0.32942497591431297</v>
      </c>
      <c r="CR16" s="85">
        <f>AY16/Weights!$B$15*8/'Data and calc.'!$CI16*2</f>
        <v>0.21225486492407983</v>
      </c>
      <c r="CS16" s="85">
        <f>AZ16/Weights!$B$16*8/'Data and calc.'!$CI16*2</f>
        <v>5.9698646791764474E-2</v>
      </c>
      <c r="CT16" s="85">
        <f>BA16/Weights!$B$6*8/'Data and calc.'!$CI16*2</f>
        <v>1.6719648870511541E-3</v>
      </c>
      <c r="CU16" s="85">
        <f t="shared" si="85"/>
        <v>8.0000000000000036</v>
      </c>
      <c r="CV16" s="85">
        <f t="shared" si="86"/>
        <v>14.789401968259899</v>
      </c>
      <c r="CW16" s="85">
        <f t="shared" si="87"/>
        <v>0.32742311943057928</v>
      </c>
      <c r="CX16" s="113"/>
      <c r="CY16" s="90">
        <f t="shared" si="88"/>
        <v>3.9652314121592175E-2</v>
      </c>
      <c r="CZ16" s="91">
        <f t="shared" si="89"/>
        <v>3.8139975819795708</v>
      </c>
      <c r="DA16" s="85">
        <f t="shared" si="90"/>
        <v>0.41399758197957093</v>
      </c>
      <c r="DB16" s="85">
        <f t="shared" si="91"/>
        <v>0.41399758197957093</v>
      </c>
      <c r="DC16" s="85">
        <f t="shared" si="92"/>
        <v>0.17139399788493156</v>
      </c>
      <c r="DD16" s="117"/>
      <c r="DE16" s="97"/>
      <c r="DF16" s="91">
        <f t="shared" si="93"/>
        <v>3.8278561738561918</v>
      </c>
      <c r="DG16" s="85">
        <f t="shared" si="94"/>
        <v>0.4278561738561919</v>
      </c>
      <c r="DH16" s="85">
        <f t="shared" si="95"/>
        <v>0.4278561738561919</v>
      </c>
      <c r="DI16" s="85">
        <f t="shared" ref="DI16:DI23" si="105">DG16^2</f>
        <v>0.18306090550685991</v>
      </c>
      <c r="DK16" s="117"/>
      <c r="DL16" s="99">
        <f>'Eq. 3 coef.'!$B$15+'Eq. 3 coef.'!$B$16*'Data and calc.'!G16^2+'Eq. 3 coef.'!$B$17*'Data and calc.'!G16+'Eq. 3 coef.'!$B$18*'Data and calc.'!BF16+'Eq. 3 coef.'!$B$19*'Data and calc.'!BG16+'Eq. 3 coef.'!$B$20*'Data and calc.'!BH16+'Eq. 3 coef.'!$B$21*'Data and calc.'!BI16+'Eq. 3 coef.'!$B$22*'Data and calc.'!BJ16+'Eq. 3 coef.'!$B$23*'Data and calc.'!BK16+'Eq. 3 coef.'!$B$24*'Data and calc.'!BL16+'Eq. 3 coef.'!$B$25*'Data and calc.'!BM16+'Eq. 3 coef.'!$B$26*'Data and calc.'!BN16+'Eq. 3 coef.'!$B$27*'Data and calc.'!BO16+'Eq. 3 coef.'!$B$28*'Data and calc.'!BP16</f>
        <v>3.8635153690884181</v>
      </c>
      <c r="DM16" s="85">
        <f t="shared" si="96"/>
        <v>0.46351536908841817</v>
      </c>
      <c r="DN16" s="85">
        <f t="shared" si="97"/>
        <v>0.46351536908841817</v>
      </c>
      <c r="DO16" s="85">
        <f t="shared" si="33"/>
        <v>0.21484649738117254</v>
      </c>
      <c r="DP16" s="117"/>
      <c r="DQ16" s="99">
        <f>'Eq. 4 coef.'!$B$15+'Eq. 4 coef.'!$B$16*'Data and calc.'!G16^2+'Eq. 4 coef.'!$B$17*'Data and calc.'!G16+'Eq. 4 coef.'!$B$18*'Data and calc.'!O16+'Eq. 4 coef.'!$B$19*'Data and calc.'!P16+'Eq. 4 coef.'!$B$20*'Data and calc.'!Q16+'Eq. 4 coef.'!$B$21*'Data and calc.'!R16+'Eq. 4 coef.'!$B$22*'Data and calc.'!S16+'Eq. 4 coef.'!$B$23*'Data and calc.'!T16+'Eq. 4 coef.'!$B$24*'Data and calc.'!U16+'Eq. 4 coef.'!$B$25*'Data and calc.'!V16+'Eq. 4 coef.'!$B$26*'Data and calc.'!W16+'Eq. 4 coef.'!$B$27*'Data and calc.'!X16</f>
        <v>3.8166353959713035</v>
      </c>
      <c r="DR16" s="85">
        <f t="shared" si="98"/>
        <v>0.41663539597130361</v>
      </c>
      <c r="DS16" s="85">
        <f t="shared" si="99"/>
        <v>0.41663539597130361</v>
      </c>
      <c r="DT16" s="85">
        <f t="shared" si="100"/>
        <v>0.17358505317616496</v>
      </c>
    </row>
    <row r="17" spans="1:124" ht="15" x14ac:dyDescent="0.2">
      <c r="A17" s="66" t="s">
        <v>613</v>
      </c>
      <c r="B17" s="73">
        <v>1.18</v>
      </c>
      <c r="C17" s="73">
        <v>0.11</v>
      </c>
      <c r="D17" s="126">
        <f t="shared" si="40"/>
        <v>9.3220338983050848</v>
      </c>
      <c r="E17" s="72">
        <f t="shared" si="41"/>
        <v>1.1940902651285164E-2</v>
      </c>
      <c r="F17" s="64">
        <f t="shared" si="42"/>
        <v>3.4000560174008232</v>
      </c>
      <c r="G17" s="73">
        <v>1.8439240812465201</v>
      </c>
      <c r="H17" s="73">
        <v>7.7372972448015651E-2</v>
      </c>
      <c r="I17" s="126">
        <f t="shared" si="102"/>
        <v>4.1961040172386257</v>
      </c>
      <c r="J17" s="74">
        <v>1260</v>
      </c>
      <c r="K17" s="74">
        <v>200</v>
      </c>
      <c r="L17" s="73">
        <v>0.13643351890791194</v>
      </c>
      <c r="M17" s="70">
        <v>2.2999999999999998</v>
      </c>
      <c r="N17" s="64">
        <f t="shared" si="43"/>
        <v>0.56984216129212273</v>
      </c>
      <c r="O17" s="76">
        <v>57.333066373010318</v>
      </c>
      <c r="P17" s="73">
        <v>0.25027530283311644</v>
      </c>
      <c r="Q17" s="73">
        <v>14.195615176694364</v>
      </c>
      <c r="R17" s="73">
        <v>6.8375212734007418</v>
      </c>
      <c r="S17" s="73">
        <v>0.15016518169986987</v>
      </c>
      <c r="T17" s="73">
        <v>8.7896686354990496</v>
      </c>
      <c r="U17" s="73">
        <v>10.111122234457905</v>
      </c>
      <c r="V17" s="73">
        <v>2.0522574832315548</v>
      </c>
      <c r="W17" s="73">
        <v>0.28030833917309045</v>
      </c>
      <c r="X17" s="73">
        <v>0</v>
      </c>
      <c r="Y17" s="73">
        <f t="shared" si="103"/>
        <v>100.00000000000003</v>
      </c>
      <c r="Z17" s="73">
        <v>2.3325658224046451</v>
      </c>
      <c r="AA17" s="73">
        <v>0.43911212530610505</v>
      </c>
      <c r="AB17" s="59">
        <f t="shared" si="44"/>
        <v>2.1513657265647699</v>
      </c>
      <c r="AC17" s="60">
        <f t="shared" si="45"/>
        <v>4.8993539521712197</v>
      </c>
      <c r="AD17" s="57">
        <f t="shared" si="46"/>
        <v>100.21319840533526</v>
      </c>
      <c r="AE17" s="57"/>
      <c r="AF17" s="57">
        <f t="shared" si="47"/>
        <v>56.656536189808797</v>
      </c>
      <c r="AG17" s="57">
        <f t="shared" si="48"/>
        <v>0.24732205425968565</v>
      </c>
      <c r="AH17" s="57">
        <f t="shared" si="49"/>
        <v>14.028106917609371</v>
      </c>
      <c r="AI17" s="57">
        <f t="shared" si="50"/>
        <v>6.7568385223746121</v>
      </c>
      <c r="AJ17" s="57">
        <f t="shared" si="51"/>
        <v>0.14839323255581138</v>
      </c>
      <c r="AK17" s="57">
        <f t="shared" si="52"/>
        <v>8.6859505456001607</v>
      </c>
      <c r="AL17" s="57">
        <f t="shared" si="53"/>
        <v>9.9918109920913007</v>
      </c>
      <c r="AM17" s="57">
        <f t="shared" si="54"/>
        <v>2.0280408449294223</v>
      </c>
      <c r="AN17" s="57">
        <f t="shared" si="55"/>
        <v>0.27700070077084793</v>
      </c>
      <c r="AO17" s="57">
        <f t="shared" si="56"/>
        <v>0</v>
      </c>
      <c r="AP17" s="57">
        <f t="shared" si="57"/>
        <v>98.82</v>
      </c>
      <c r="AQ17" s="57"/>
      <c r="AR17" s="84">
        <f t="shared" si="58"/>
        <v>56.536002334391561</v>
      </c>
      <c r="AS17" s="85">
        <f t="shared" si="59"/>
        <v>0.24679588935913899</v>
      </c>
      <c r="AT17" s="85">
        <f t="shared" si="60"/>
        <v>13.998262844450364</v>
      </c>
      <c r="AU17" s="85">
        <f t="shared" si="61"/>
        <v>6.7424636972916776</v>
      </c>
      <c r="AV17" s="85">
        <f t="shared" si="62"/>
        <v>0.1480775336154834</v>
      </c>
      <c r="AW17" s="85">
        <f t="shared" si="63"/>
        <v>8.6674716342929621</v>
      </c>
      <c r="AX17" s="85">
        <f t="shared" si="64"/>
        <v>9.970553930109217</v>
      </c>
      <c r="AY17" s="85">
        <f t="shared" si="65"/>
        <v>2.0237262927449398</v>
      </c>
      <c r="AZ17" s="85">
        <f t="shared" si="66"/>
        <v>0.27641139608223569</v>
      </c>
      <c r="BA17" s="85">
        <f t="shared" si="67"/>
        <v>0</v>
      </c>
      <c r="BB17" s="85">
        <f t="shared" si="104"/>
        <v>98.609765552337592</v>
      </c>
      <c r="BC17" s="85">
        <f t="shared" si="68"/>
        <v>2.1214566991388635</v>
      </c>
      <c r="BD17" s="85">
        <f t="shared" si="69"/>
        <v>4.8312414458152251</v>
      </c>
      <c r="BE17" s="85">
        <f t="shared" si="70"/>
        <v>100</v>
      </c>
      <c r="BF17" s="84">
        <f t="shared" si="71"/>
        <v>57.211093234559364</v>
      </c>
      <c r="BG17" s="85">
        <f t="shared" si="72"/>
        <v>0.24974285504871382</v>
      </c>
      <c r="BH17" s="85">
        <f t="shared" si="73"/>
        <v>14.165414738363049</v>
      </c>
      <c r="BI17" s="85">
        <f t="shared" si="74"/>
        <v>2.1467888070621974</v>
      </c>
      <c r="BJ17" s="85">
        <f t="shared" si="75"/>
        <v>4.8889308296045595</v>
      </c>
      <c r="BK17" s="85">
        <f t="shared" si="76"/>
        <v>0.14984571302922831</v>
      </c>
      <c r="BL17" s="85">
        <f t="shared" si="77"/>
        <v>8.77096906931083</v>
      </c>
      <c r="BM17" s="85">
        <f t="shared" si="78"/>
        <v>10.089611343968039</v>
      </c>
      <c r="BN17" s="85">
        <f t="shared" si="79"/>
        <v>2.0478914113994535</v>
      </c>
      <c r="BO17" s="85">
        <f t="shared" si="80"/>
        <v>0.27971199765455951</v>
      </c>
      <c r="BP17" s="85">
        <f t="shared" si="81"/>
        <v>0</v>
      </c>
      <c r="BQ17" s="85">
        <f t="shared" si="82"/>
        <v>100</v>
      </c>
      <c r="BR17" s="85"/>
      <c r="BS17" s="82">
        <f>AR17/Weights!$B$5*2+AS17/Weights!$B$7*2+AT17/Weights!$B$8*3+'Data and calc.'!BC17/Weights!$B$20*3+'Data and calc.'!BD17/Weights!$B$10+'Data and calc.'!AV17/Weights!$B$11+'Data and calc.'!AW17/Weights!$B$13+'Data and calc.'!AX17/Weights!$B$14+'Data and calc.'!AY17/Weights!$B$15+AZ17/Weights!$B$16+B17/Weights!$B$19+'Data and calc.'!BA17/Weights!$B$6*5</f>
        <v>2.9031152119783856</v>
      </c>
      <c r="BT17" s="84">
        <f>AR17/Weights!$B$5*8/'Data and calc.'!$BS17</f>
        <v>2.592980212122947</v>
      </c>
      <c r="BU17" s="85">
        <f>AS17/Weights!$B$7*8/'Data and calc.'!$BS17</f>
        <v>8.5154409435849992E-3</v>
      </c>
      <c r="BV17" s="85">
        <f>AT17/Weights!$B$8*8/'Data and calc.'!$BS17*2</f>
        <v>0.75665812592938864</v>
      </c>
      <c r="BW17" s="85">
        <f>BC17/Weights!$B$20*8/'Data and calc.'!$BS17*2</f>
        <v>7.3218414638931639E-2</v>
      </c>
      <c r="BX17" s="85">
        <f>BD17/Weights!$B$10*8/'Data and calc.'!$BS17</f>
        <v>0.18530790820374762</v>
      </c>
      <c r="BY17" s="85">
        <f>AV17/Weights!$B$11*8/'Data and calc.'!$BS17</f>
        <v>5.7523036141123897E-3</v>
      </c>
      <c r="BZ17" s="85">
        <f>AW17/Weights!$B$13*8/'Data and calc.'!$BS17</f>
        <v>0.59261139009762542</v>
      </c>
      <c r="CA17" s="85">
        <f>AX17/Weights!$B$14*8/'Data and calc.'!$BS17</f>
        <v>0.48995955409098935</v>
      </c>
      <c r="CB17" s="85">
        <f>AY17/Weights!$B$15*8/'Data and calc.'!$BS17*2</f>
        <v>0.17995592653313483</v>
      </c>
      <c r="CC17" s="85">
        <f>AZ17/Weights!$B$16*8/'Data and calc.'!$BS17*2</f>
        <v>1.6172644452066679E-2</v>
      </c>
      <c r="CD17" s="85">
        <f>BA17/Weights!$B$6*8/'Data and calc.'!$BS17*2</f>
        <v>0</v>
      </c>
      <c r="CE17" s="85">
        <f>B17/Weights!$B$19*8/'Data and calc.'!$BS17*2</f>
        <v>0.36099688303076161</v>
      </c>
      <c r="CF17" s="85">
        <f t="shared" si="83"/>
        <v>13.725488774539407</v>
      </c>
      <c r="CG17" s="85">
        <f t="shared" si="84"/>
        <v>0.66285762578591145</v>
      </c>
      <c r="CH17" s="85">
        <f t="shared" si="101"/>
        <v>7.3655818467464163E-2</v>
      </c>
      <c r="CI17" s="85">
        <f>AR17/Weights!$B$5*2+AS17/Weights!$B$7*2+AT17/Weights!$B$8*3+'Data and calc.'!BC17/Weights!$B$20*3+'Data and calc.'!BD17/Weights!$B$10+'Data and calc.'!AV17/Weights!$B$11+'Data and calc.'!AW17/Weights!$B$13+'Data and calc.'!AX17/Weights!$B$14+'Data and calc.'!AY17/Weights!$B$15+AZ17/Weights!$B$16+'Data and calc.'!BA17/Weights!$B$6*5</f>
        <v>2.8376142405656739</v>
      </c>
      <c r="CJ17" s="84">
        <f>AR17/Weights!$B$5*8/'Data and calc.'!$CI17</f>
        <v>2.652834268505937</v>
      </c>
      <c r="CK17" s="85">
        <f>AS17/Weights!$B$7*8/'Data and calc.'!$CI17</f>
        <v>8.7120038328737173E-3</v>
      </c>
      <c r="CL17" s="85">
        <f>AT17/Weights!$B$8*8/'Data and calc.'!$CI17*2</f>
        <v>0.77412415128518774</v>
      </c>
      <c r="CM17" s="85">
        <f>BC17/Weights!$B$20*8/'Data and calc.'!$CI17*2</f>
        <v>7.4908523609907449E-2</v>
      </c>
      <c r="CN17" s="85">
        <f>BD17/Weights!$B$10*8/'Data and calc.'!$CI17</f>
        <v>0.18958539167006383</v>
      </c>
      <c r="CO17" s="85">
        <f>AV17/Weights!$B$11*8/'Data and calc.'!$CI17</f>
        <v>5.885084690975784E-3</v>
      </c>
      <c r="CP17" s="85">
        <f>AW17/Weights!$B$13*8/'Data and calc.'!$CI17</f>
        <v>0.60629070604082913</v>
      </c>
      <c r="CQ17" s="85">
        <f>AX17/Weights!$B$14*8/'Data and calc.'!$CI17</f>
        <v>0.50126934605887197</v>
      </c>
      <c r="CR17" s="85">
        <f>AY17/Weights!$B$15*8/'Data and calc.'!$CI17*2</f>
        <v>0.18410986959942177</v>
      </c>
      <c r="CS17" s="85">
        <f>AZ17/Weights!$B$16*8/'Data and calc.'!$CI17*2</f>
        <v>1.6545959438571539E-2</v>
      </c>
      <c r="CT17" s="85">
        <f>BA17/Weights!$B$6*8/'Data and calc.'!$CI17*2</f>
        <v>0</v>
      </c>
      <c r="CU17" s="85">
        <f t="shared" si="85"/>
        <v>8.0000000000000018</v>
      </c>
      <c r="CV17" s="85">
        <f t="shared" si="86"/>
        <v>14.042315788935623</v>
      </c>
      <c r="CW17" s="85">
        <f t="shared" si="87"/>
        <v>0.55765280897810243</v>
      </c>
      <c r="CX17" s="113"/>
      <c r="CY17" s="90">
        <f t="shared" si="88"/>
        <v>1.2206186339532538E-2</v>
      </c>
      <c r="CZ17" s="91">
        <f t="shared" si="89"/>
        <v>1.2058992035678111</v>
      </c>
      <c r="DA17" s="85">
        <f t="shared" si="90"/>
        <v>2.5899203567811169E-2</v>
      </c>
      <c r="DB17" s="85">
        <f t="shared" si="91"/>
        <v>2.5899203567811169E-2</v>
      </c>
      <c r="DC17" s="85">
        <f t="shared" si="92"/>
        <v>6.707687454469228E-4</v>
      </c>
      <c r="DD17" s="117"/>
      <c r="DE17" s="97"/>
      <c r="DF17" s="91">
        <f t="shared" si="93"/>
        <v>1.2037656877412959</v>
      </c>
      <c r="DG17" s="85">
        <f t="shared" si="94"/>
        <v>2.3765687741295949E-2</v>
      </c>
      <c r="DH17" s="85">
        <f t="shared" si="95"/>
        <v>2.3765687741295949E-2</v>
      </c>
      <c r="DI17" s="85">
        <f t="shared" si="105"/>
        <v>5.6480791381678457E-4</v>
      </c>
      <c r="DK17" s="117"/>
      <c r="DL17" s="99">
        <f>'Eq. 3 coef.'!$B$15+'Eq. 3 coef.'!$B$16*'Data and calc.'!G17^2+'Eq. 3 coef.'!$B$17*'Data and calc.'!G17+'Eq. 3 coef.'!$B$18*'Data and calc.'!BF17+'Eq. 3 coef.'!$B$19*'Data and calc.'!BG17+'Eq. 3 coef.'!$B$20*'Data and calc.'!BH17+'Eq. 3 coef.'!$B$21*'Data and calc.'!BI17+'Eq. 3 coef.'!$B$22*'Data and calc.'!BJ17+'Eq. 3 coef.'!$B$23*'Data and calc.'!BK17+'Eq. 3 coef.'!$B$24*'Data and calc.'!BL17+'Eq. 3 coef.'!$B$25*'Data and calc.'!BM17+'Eq. 3 coef.'!$B$26*'Data and calc.'!BN17+'Eq. 3 coef.'!$B$27*'Data and calc.'!BO17+'Eq. 3 coef.'!$B$28*'Data and calc.'!BP17</f>
        <v>1.2549224069944103</v>
      </c>
      <c r="DM17" s="85">
        <f t="shared" si="96"/>
        <v>7.4922406994410329E-2</v>
      </c>
      <c r="DN17" s="85">
        <f t="shared" si="97"/>
        <v>7.4922406994410329E-2</v>
      </c>
      <c r="DO17" s="85">
        <f t="shared" si="33"/>
        <v>5.6133670698360659E-3</v>
      </c>
      <c r="DP17" s="117"/>
      <c r="DQ17" s="99">
        <f>'Eq. 4 coef.'!$B$15+'Eq. 4 coef.'!$B$16*'Data and calc.'!G17^2+'Eq. 4 coef.'!$B$17*'Data and calc.'!G17+'Eq. 4 coef.'!$B$18*'Data and calc.'!O17+'Eq. 4 coef.'!$B$19*'Data and calc.'!P17+'Eq. 4 coef.'!$B$20*'Data and calc.'!Q17+'Eq. 4 coef.'!$B$21*'Data and calc.'!R17+'Eq. 4 coef.'!$B$22*'Data and calc.'!S17+'Eq. 4 coef.'!$B$23*'Data and calc.'!T17+'Eq. 4 coef.'!$B$24*'Data and calc.'!U17+'Eq. 4 coef.'!$B$25*'Data and calc.'!V17+'Eq. 4 coef.'!$B$26*'Data and calc.'!W17+'Eq. 4 coef.'!$B$27*'Data and calc.'!X17</f>
        <v>1.2529042303949609</v>
      </c>
      <c r="DR17" s="85">
        <f t="shared" si="98"/>
        <v>7.2904230394960967E-2</v>
      </c>
      <c r="DS17" s="85">
        <f t="shared" si="99"/>
        <v>7.2904230394960967E-2</v>
      </c>
      <c r="DT17" s="85">
        <f t="shared" si="100"/>
        <v>5.3150268094815508E-3</v>
      </c>
    </row>
    <row r="18" spans="1:124" ht="15" x14ac:dyDescent="0.2">
      <c r="A18" s="66" t="s">
        <v>614</v>
      </c>
      <c r="B18" s="73">
        <v>1.72</v>
      </c>
      <c r="C18" s="73">
        <v>0.11</v>
      </c>
      <c r="D18" s="126">
        <f t="shared" si="40"/>
        <v>6.3953488372093021</v>
      </c>
      <c r="E18" s="72">
        <f t="shared" si="41"/>
        <v>1.7501017501017499E-2</v>
      </c>
      <c r="F18" s="64">
        <f t="shared" si="42"/>
        <v>8.5096844078788916</v>
      </c>
      <c r="G18" s="73">
        <v>2.917136336868555</v>
      </c>
      <c r="H18" s="73">
        <v>7.2455746863734821E-2</v>
      </c>
      <c r="I18" s="126">
        <f t="shared" si="102"/>
        <v>2.4837970700235958</v>
      </c>
      <c r="J18" s="74">
        <v>1260</v>
      </c>
      <c r="K18" s="74">
        <v>200</v>
      </c>
      <c r="L18" s="73">
        <v>0.2535413403972675</v>
      </c>
      <c r="M18" s="70">
        <v>2.2999999999999998</v>
      </c>
      <c r="N18" s="64">
        <f t="shared" si="43"/>
        <v>1.1080975639669077</v>
      </c>
      <c r="O18" s="76">
        <v>57.333066373010318</v>
      </c>
      <c r="P18" s="73">
        <v>0.25027530283311644</v>
      </c>
      <c r="Q18" s="73">
        <v>14.195615176694364</v>
      </c>
      <c r="R18" s="73">
        <v>6.8375212734007418</v>
      </c>
      <c r="S18" s="73">
        <v>0.15016518169986987</v>
      </c>
      <c r="T18" s="73">
        <v>8.7896686354990496</v>
      </c>
      <c r="U18" s="73">
        <v>10.111122234457905</v>
      </c>
      <c r="V18" s="73">
        <v>2.0522574832315548</v>
      </c>
      <c r="W18" s="73">
        <v>0.28030833917309045</v>
      </c>
      <c r="X18" s="73">
        <v>0</v>
      </c>
      <c r="Y18" s="73">
        <f t="shared" si="103"/>
        <v>100.00000000000003</v>
      </c>
      <c r="Z18" s="73">
        <v>2.3325658224046451</v>
      </c>
      <c r="AA18" s="73">
        <v>0.59863696101257224</v>
      </c>
      <c r="AB18" s="59">
        <f t="shared" si="44"/>
        <v>2.6591044702856692</v>
      </c>
      <c r="AC18" s="60">
        <f t="shared" si="45"/>
        <v>4.4419316605307699</v>
      </c>
      <c r="AD18" s="57">
        <f t="shared" si="46"/>
        <v>100.2635148574157</v>
      </c>
      <c r="AE18" s="57"/>
      <c r="AF18" s="57">
        <f t="shared" si="47"/>
        <v>56.346937631394539</v>
      </c>
      <c r="AG18" s="57">
        <f t="shared" si="48"/>
        <v>0.24597056762438682</v>
      </c>
      <c r="AH18" s="57">
        <f t="shared" si="49"/>
        <v>13.951450595655222</v>
      </c>
      <c r="AI18" s="57">
        <f t="shared" si="50"/>
        <v>6.7199159074982493</v>
      </c>
      <c r="AJ18" s="57">
        <f t="shared" si="51"/>
        <v>0.1475823405746321</v>
      </c>
      <c r="AK18" s="57">
        <f t="shared" si="52"/>
        <v>8.6384863349684657</v>
      </c>
      <c r="AL18" s="57">
        <f t="shared" si="53"/>
        <v>9.9372109320252306</v>
      </c>
      <c r="AM18" s="57">
        <f t="shared" si="54"/>
        <v>2.0169586545199722</v>
      </c>
      <c r="AN18" s="57">
        <f t="shared" si="55"/>
        <v>0.27548703573931332</v>
      </c>
      <c r="AO18" s="57">
        <f t="shared" si="56"/>
        <v>0</v>
      </c>
      <c r="AP18" s="57">
        <f t="shared" si="57"/>
        <v>98.28</v>
      </c>
      <c r="AQ18" s="57"/>
      <c r="AR18" s="84">
        <f t="shared" si="58"/>
        <v>56.198845324269023</v>
      </c>
      <c r="AS18" s="85">
        <f t="shared" si="59"/>
        <v>0.24532410216635681</v>
      </c>
      <c r="AT18" s="85">
        <f t="shared" si="60"/>
        <v>13.914783074875759</v>
      </c>
      <c r="AU18" s="85">
        <f t="shared" si="61"/>
        <v>6.7022544711848688</v>
      </c>
      <c r="AV18" s="85">
        <f t="shared" si="62"/>
        <v>0.14719446129981409</v>
      </c>
      <c r="AW18" s="85">
        <f t="shared" si="63"/>
        <v>8.6157824680824504</v>
      </c>
      <c r="AX18" s="85">
        <f t="shared" si="64"/>
        <v>9.9110937275208162</v>
      </c>
      <c r="AY18" s="85">
        <f t="shared" si="65"/>
        <v>2.011657637764126</v>
      </c>
      <c r="AZ18" s="85">
        <f t="shared" si="66"/>
        <v>0.27476299442631968</v>
      </c>
      <c r="BA18" s="85">
        <f t="shared" si="67"/>
        <v>0</v>
      </c>
      <c r="BB18" s="85">
        <f t="shared" si="104"/>
        <v>98.021698261589563</v>
      </c>
      <c r="BC18" s="85">
        <f t="shared" si="68"/>
        <v>2.6064993603238573</v>
      </c>
      <c r="BD18" s="85">
        <f t="shared" si="69"/>
        <v>4.3540568492714842</v>
      </c>
      <c r="BE18" s="85">
        <f t="shared" si="70"/>
        <v>100.00000000000003</v>
      </c>
      <c r="BF18" s="84">
        <f t="shared" si="71"/>
        <v>57.182382299826031</v>
      </c>
      <c r="BG18" s="85">
        <f t="shared" si="72"/>
        <v>0.24961752357179165</v>
      </c>
      <c r="BH18" s="85">
        <f t="shared" si="73"/>
        <v>14.158305936992022</v>
      </c>
      <c r="BI18" s="85">
        <f t="shared" si="74"/>
        <v>2.652115751245276</v>
      </c>
      <c r="BJ18" s="85">
        <f t="shared" si="75"/>
        <v>4.4302572743910096</v>
      </c>
      <c r="BK18" s="85">
        <f t="shared" si="76"/>
        <v>0.14977051414307496</v>
      </c>
      <c r="BL18" s="85">
        <f t="shared" si="77"/>
        <v>8.7665674278413199</v>
      </c>
      <c r="BM18" s="85">
        <f t="shared" si="78"/>
        <v>10.084547952300383</v>
      </c>
      <c r="BN18" s="85">
        <f t="shared" si="79"/>
        <v>2.0468636932886914</v>
      </c>
      <c r="BO18" s="85">
        <f t="shared" si="80"/>
        <v>0.27957162640040667</v>
      </c>
      <c r="BP18" s="85">
        <f t="shared" si="81"/>
        <v>0</v>
      </c>
      <c r="BQ18" s="85">
        <f t="shared" si="82"/>
        <v>100</v>
      </c>
      <c r="BR18" s="85"/>
      <c r="BS18" s="82">
        <f>AR18/Weights!$B$5*2+AS18/Weights!$B$7*2+AT18/Weights!$B$8*3+'Data and calc.'!BC18/Weights!$B$20*3+'Data and calc.'!BD18/Weights!$B$10+'Data and calc.'!AV18/Weights!$B$11+'Data and calc.'!AW18/Weights!$B$13+'Data and calc.'!AX18/Weights!$B$14+'Data and calc.'!AY18/Weights!$B$15+AZ18/Weights!$B$16+B18/Weights!$B$19+'Data and calc.'!BA18/Weights!$B$6*5</f>
        <v>2.9192770213957697</v>
      </c>
      <c r="BT18" s="84">
        <f>AR18/Weights!$B$5*8/'Data and calc.'!$BS18</f>
        <v>2.5632470218295009</v>
      </c>
      <c r="BU18" s="85">
        <f>AS18/Weights!$B$7*8/'Data and calc.'!$BS18</f>
        <v>8.4177960696193328E-3</v>
      </c>
      <c r="BV18" s="85">
        <f>AT18/Weights!$B$8*8/'Data and calc.'!$BS18*2</f>
        <v>0.74798167713114605</v>
      </c>
      <c r="BW18" s="85">
        <f>BC18/Weights!$B$20*8/'Data and calc.'!$BS18*2</f>
        <v>8.9460791146481394E-2</v>
      </c>
      <c r="BX18" s="85">
        <f>BD18/Weights!$B$10*8/'Data and calc.'!$BS18</f>
        <v>0.16608035678359823</v>
      </c>
      <c r="BY18" s="85">
        <f>AV18/Weights!$B$11*8/'Data and calc.'!$BS18</f>
        <v>5.6863430883881882E-3</v>
      </c>
      <c r="BZ18" s="85">
        <f>AW18/Weights!$B$13*8/'Data and calc.'!$BS18</f>
        <v>0.58581603271330873</v>
      </c>
      <c r="CA18" s="85">
        <f>AX18/Weights!$B$14*8/'Data and calc.'!$BS18</f>
        <v>0.48434128496970197</v>
      </c>
      <c r="CB18" s="85">
        <f>AY18/Weights!$B$15*8/'Data and calc.'!$BS18*2</f>
        <v>0.17789240758184191</v>
      </c>
      <c r="CC18" s="85">
        <f>AZ18/Weights!$B$16*8/'Data and calc.'!$BS18*2</f>
        <v>1.5987195942743945E-2</v>
      </c>
      <c r="CD18" s="85">
        <f>BA18/Weights!$B$6*8/'Data and calc.'!$BS18*2</f>
        <v>0</v>
      </c>
      <c r="CE18" s="85">
        <f>B18/Weights!$B$19*8/'Data and calc.'!$BS18*2</f>
        <v>0.52328568493605532</v>
      </c>
      <c r="CF18" s="85">
        <f t="shared" si="83"/>
        <v>13.636429144706991</v>
      </c>
      <c r="CG18" s="85">
        <f t="shared" si="84"/>
        <v>0.69331078692560333</v>
      </c>
      <c r="CH18" s="85">
        <f t="shared" si="101"/>
        <v>0.10800728743067675</v>
      </c>
      <c r="CI18" s="85">
        <f>AR18/Weights!$B$5*2+AS18/Weights!$B$7*2+AT18/Weights!$B$8*3+'Data and calc.'!BC18/Weights!$B$20*3+'Data and calc.'!BD18/Weights!$B$10+'Data and calc.'!AV18/Weights!$B$11+'Data and calc.'!AW18/Weights!$B$13+'Data and calc.'!AX18/Weights!$B$14+'Data and calc.'!AY18/Weights!$B$15+AZ18/Weights!$B$16+'Data and calc.'!BA18/Weights!$B$6*5</f>
        <v>2.8238010291670714</v>
      </c>
      <c r="CJ18" s="84">
        <f>AR18/Weights!$B$5*8/'Data and calc.'!$CI18</f>
        <v>2.6499133804746831</v>
      </c>
      <c r="CK18" s="85">
        <f>AS18/Weights!$B$7*8/'Data and calc.'!$CI18</f>
        <v>8.7024115307741175E-3</v>
      </c>
      <c r="CL18" s="85">
        <f>AT18/Weights!$B$8*8/'Data and calc.'!$CI18*2</f>
        <v>0.77327180630644665</v>
      </c>
      <c r="CM18" s="85">
        <f>BC18/Weights!$B$20*8/'Data and calc.'!$CI18*2</f>
        <v>9.2485564390789643E-2</v>
      </c>
      <c r="CN18" s="85">
        <f>BD18/Weights!$B$10*8/'Data and calc.'!$CI18</f>
        <v>0.17169572652453477</v>
      </c>
      <c r="CO18" s="85">
        <f>AV18/Weights!$B$11*8/'Data and calc.'!$CI18</f>
        <v>5.8786049520637611E-3</v>
      </c>
      <c r="CP18" s="85">
        <f>AW18/Weights!$B$13*8/'Data and calc.'!$CI18</f>
        <v>0.60562315311912585</v>
      </c>
      <c r="CQ18" s="85">
        <f>AX18/Weights!$B$14*8/'Data and calc.'!$CI18</f>
        <v>0.50071742630620586</v>
      </c>
      <c r="CR18" s="85">
        <f>AY18/Weights!$B$15*8/'Data and calc.'!$CI18*2</f>
        <v>0.18390715647823927</v>
      </c>
      <c r="CS18" s="85">
        <f>AZ18/Weights!$B$16*8/'Data and calc.'!$CI18*2</f>
        <v>1.6527741604361733E-2</v>
      </c>
      <c r="CT18" s="85">
        <f>BA18/Weights!$B$6*8/'Data and calc.'!$CI18*2</f>
        <v>0</v>
      </c>
      <c r="CU18" s="85">
        <f t="shared" si="85"/>
        <v>8</v>
      </c>
      <c r="CV18" s="85">
        <f t="shared" si="86"/>
        <v>14.097492650810775</v>
      </c>
      <c r="CW18" s="85">
        <f t="shared" si="87"/>
        <v>0.5398143900659691</v>
      </c>
      <c r="CX18" s="113"/>
      <c r="CY18" s="90">
        <f t="shared" si="88"/>
        <v>2.1446543860438257E-2</v>
      </c>
      <c r="CZ18" s="91">
        <f t="shared" si="89"/>
        <v>2.0996246929754681</v>
      </c>
      <c r="DA18" s="85">
        <f t="shared" si="90"/>
        <v>0.37962469297546808</v>
      </c>
      <c r="DB18" s="85">
        <f t="shared" si="91"/>
        <v>0.37962469297546808</v>
      </c>
      <c r="DC18" s="85">
        <f t="shared" si="92"/>
        <v>0.1441149075167184</v>
      </c>
      <c r="DD18" s="117"/>
      <c r="DE18" s="97"/>
      <c r="DF18" s="91">
        <f t="shared" si="93"/>
        <v>2.1067635495376069</v>
      </c>
      <c r="DG18" s="85">
        <f t="shared" si="94"/>
        <v>0.38676354953760694</v>
      </c>
      <c r="DH18" s="85">
        <f t="shared" si="95"/>
        <v>0.38676354953760694</v>
      </c>
      <c r="DI18" s="85">
        <f t="shared" si="105"/>
        <v>0.14958604325092895</v>
      </c>
      <c r="DK18" s="117"/>
      <c r="DL18" s="99">
        <f>'Eq. 3 coef.'!$B$15+'Eq. 3 coef.'!$B$16*'Data and calc.'!G18^2+'Eq. 3 coef.'!$B$17*'Data and calc.'!G18+'Eq. 3 coef.'!$B$18*'Data and calc.'!BF18+'Eq. 3 coef.'!$B$19*'Data and calc.'!BG18+'Eq. 3 coef.'!$B$20*'Data and calc.'!BH18+'Eq. 3 coef.'!$B$21*'Data and calc.'!BI18+'Eq. 3 coef.'!$B$22*'Data and calc.'!BJ18+'Eq. 3 coef.'!$B$23*'Data and calc.'!BK18+'Eq. 3 coef.'!$B$24*'Data and calc.'!BL18+'Eq. 3 coef.'!$B$25*'Data and calc.'!BM18+'Eq. 3 coef.'!$B$26*'Data and calc.'!BN18+'Eq. 3 coef.'!$B$27*'Data and calc.'!BO18+'Eq. 3 coef.'!$B$28*'Data and calc.'!BP18</f>
        <v>2.171789215867193</v>
      </c>
      <c r="DM18" s="85">
        <f t="shared" si="96"/>
        <v>0.45178921586719301</v>
      </c>
      <c r="DN18" s="85">
        <f t="shared" si="97"/>
        <v>0.45178921586719301</v>
      </c>
      <c r="DO18" s="85">
        <f t="shared" si="33"/>
        <v>0.20411349557389313</v>
      </c>
      <c r="DP18" s="117"/>
      <c r="DQ18" s="99">
        <f>'Eq. 4 coef.'!$B$15+'Eq. 4 coef.'!$B$16*'Data and calc.'!G18^2+'Eq. 4 coef.'!$B$17*'Data and calc.'!G18+'Eq. 4 coef.'!$B$18*'Data and calc.'!O18+'Eq. 4 coef.'!$B$19*'Data and calc.'!P18+'Eq. 4 coef.'!$B$20*'Data and calc.'!Q18+'Eq. 4 coef.'!$B$21*'Data and calc.'!R18+'Eq. 4 coef.'!$B$22*'Data and calc.'!S18+'Eq. 4 coef.'!$B$23*'Data and calc.'!T18+'Eq. 4 coef.'!$B$24*'Data and calc.'!U18+'Eq. 4 coef.'!$B$25*'Data and calc.'!V18+'Eq. 4 coef.'!$B$26*'Data and calc.'!W18+'Eq. 4 coef.'!$B$27*'Data and calc.'!X18</f>
        <v>2.1459233992654845</v>
      </c>
      <c r="DR18" s="85">
        <f t="shared" si="98"/>
        <v>0.4259233992654845</v>
      </c>
      <c r="DS18" s="85">
        <f t="shared" si="99"/>
        <v>0.4259233992654845</v>
      </c>
      <c r="DT18" s="85">
        <f t="shared" si="100"/>
        <v>0.18141074204186533</v>
      </c>
    </row>
    <row r="19" spans="1:124" ht="15" x14ac:dyDescent="0.2">
      <c r="A19" s="66" t="s">
        <v>612</v>
      </c>
      <c r="B19" s="73">
        <v>5.0245131682685518</v>
      </c>
      <c r="C19" s="73">
        <v>0.11189493527258756</v>
      </c>
      <c r="D19" s="126">
        <f t="shared" si="40"/>
        <v>2.2269806352432466</v>
      </c>
      <c r="E19" s="72">
        <f t="shared" si="41"/>
        <v>5.2903263103778637E-2</v>
      </c>
      <c r="F19" s="64">
        <f t="shared" si="42"/>
        <v>39.919880492319869</v>
      </c>
      <c r="G19" s="73">
        <v>6.3182181421916628</v>
      </c>
      <c r="H19" s="73">
        <v>9.6684180651701743E-2</v>
      </c>
      <c r="I19" s="126">
        <f t="shared" si="102"/>
        <v>1.5302444213830824</v>
      </c>
      <c r="J19" s="74">
        <v>1275</v>
      </c>
      <c r="K19" s="74">
        <v>500</v>
      </c>
      <c r="L19" s="73">
        <v>1</v>
      </c>
      <c r="M19" s="70">
        <v>2.2999999999999998</v>
      </c>
      <c r="N19" s="64">
        <f t="shared" si="43"/>
        <v>2.2999999999999998</v>
      </c>
      <c r="O19" s="76">
        <v>57.333066373010318</v>
      </c>
      <c r="P19" s="73">
        <v>0.25027530283311644</v>
      </c>
      <c r="Q19" s="73">
        <v>14.195615176694364</v>
      </c>
      <c r="R19" s="73">
        <v>6.8375212734007418</v>
      </c>
      <c r="S19" s="73">
        <v>0.15016518169986987</v>
      </c>
      <c r="T19" s="73">
        <v>8.7896686354990496</v>
      </c>
      <c r="U19" s="73">
        <v>10.111122234457905</v>
      </c>
      <c r="V19" s="73">
        <v>2.0522574832315548</v>
      </c>
      <c r="W19" s="73">
        <v>0.28030833917309045</v>
      </c>
      <c r="X19" s="73">
        <v>0</v>
      </c>
      <c r="Y19" s="73">
        <f t="shared" si="103"/>
        <v>100.00000000000003</v>
      </c>
      <c r="Z19" s="73">
        <v>2.3325658224046451</v>
      </c>
      <c r="AA19" s="73">
        <v>1.2349581707822546</v>
      </c>
      <c r="AB19" s="59">
        <f t="shared" si="44"/>
        <v>3.9970429687665763</v>
      </c>
      <c r="AC19" s="60">
        <f t="shared" si="45"/>
        <v>3.2365816618993222</v>
      </c>
      <c r="AD19" s="57">
        <f t="shared" si="46"/>
        <v>100.39610335726516</v>
      </c>
      <c r="AE19" s="57"/>
      <c r="AF19" s="57">
        <f t="shared" si="47"/>
        <v>54.452358903326264</v>
      </c>
      <c r="AG19" s="57">
        <f t="shared" si="48"/>
        <v>0.23770018728534251</v>
      </c>
      <c r="AH19" s="57">
        <f t="shared" si="49"/>
        <v>13.482354622824625</v>
      </c>
      <c r="AI19" s="57">
        <f t="shared" si="50"/>
        <v>6.493969116635558</v>
      </c>
      <c r="AJ19" s="57">
        <f t="shared" si="51"/>
        <v>0.1426201123712055</v>
      </c>
      <c r="AK19" s="57">
        <f t="shared" si="52"/>
        <v>8.3480305774612287</v>
      </c>
      <c r="AL19" s="57">
        <f t="shared" si="53"/>
        <v>9.6030875663278383</v>
      </c>
      <c r="AM19" s="57">
        <f t="shared" si="54"/>
        <v>1.9491415357398085</v>
      </c>
      <c r="AN19" s="57">
        <f t="shared" si="55"/>
        <v>0.26622420975958361</v>
      </c>
      <c r="AO19" s="57">
        <f t="shared" si="56"/>
        <v>0</v>
      </c>
      <c r="AP19" s="57">
        <f t="shared" si="57"/>
        <v>94.975486831731459</v>
      </c>
      <c r="AQ19" s="57"/>
      <c r="AR19" s="84">
        <f t="shared" si="58"/>
        <v>54.237522256769765</v>
      </c>
      <c r="AS19" s="85">
        <f t="shared" si="59"/>
        <v>0.23676236361432582</v>
      </c>
      <c r="AT19" s="85">
        <f t="shared" si="60"/>
        <v>13.429161264204559</v>
      </c>
      <c r="AU19" s="85">
        <f t="shared" si="61"/>
        <v>6.4683477739433819</v>
      </c>
      <c r="AV19" s="85">
        <f t="shared" si="62"/>
        <v>0.14205741816859549</v>
      </c>
      <c r="AW19" s="85">
        <f t="shared" si="63"/>
        <v>8.3150942101351237</v>
      </c>
      <c r="AX19" s="85">
        <f t="shared" si="64"/>
        <v>9.5651994900187631</v>
      </c>
      <c r="AY19" s="85">
        <f t="shared" si="65"/>
        <v>1.9414513816374717</v>
      </c>
      <c r="AZ19" s="85">
        <f t="shared" si="66"/>
        <v>0.26517384724804494</v>
      </c>
      <c r="BA19" s="85">
        <f t="shared" si="67"/>
        <v>0</v>
      </c>
      <c r="BB19" s="85">
        <f t="shared" si="104"/>
        <v>94.600770005740046</v>
      </c>
      <c r="BC19" s="85">
        <f t="shared" si="68"/>
        <v>3.7812334259134714</v>
      </c>
      <c r="BD19" s="85">
        <f t="shared" si="69"/>
        <v>3.0618311740213353</v>
      </c>
      <c r="BE19" s="85">
        <f t="shared" si="70"/>
        <v>100.00000000000003</v>
      </c>
      <c r="BF19" s="84">
        <f t="shared" si="71"/>
        <v>57.106864166816706</v>
      </c>
      <c r="BG19" s="85">
        <f t="shared" si="72"/>
        <v>0.24928786522968702</v>
      </c>
      <c r="BH19" s="85">
        <f t="shared" si="73"/>
        <v>14.139607715827845</v>
      </c>
      <c r="BI19" s="85">
        <f t="shared" si="74"/>
        <v>3.981273012701374</v>
      </c>
      <c r="BJ19" s="85">
        <f t="shared" si="75"/>
        <v>3.2238120341999372</v>
      </c>
      <c r="BK19" s="85">
        <f t="shared" si="76"/>
        <v>0.1495727191378122</v>
      </c>
      <c r="BL19" s="85">
        <f t="shared" si="77"/>
        <v>8.7549898268666091</v>
      </c>
      <c r="BM19" s="85">
        <f t="shared" si="78"/>
        <v>10.071229755279354</v>
      </c>
      <c r="BN19" s="85">
        <f t="shared" si="79"/>
        <v>2.0441604948834335</v>
      </c>
      <c r="BO19" s="85">
        <f t="shared" si="80"/>
        <v>0.27920240905724947</v>
      </c>
      <c r="BP19" s="85">
        <f t="shared" si="81"/>
        <v>0</v>
      </c>
      <c r="BQ19" s="85">
        <f t="shared" si="82"/>
        <v>100</v>
      </c>
      <c r="BR19" s="85"/>
      <c r="BS19" s="82">
        <f>AR19/Weights!$B$5*2+AS19/Weights!$B$7*2+AT19/Weights!$B$8*3+'Data and calc.'!BC19/Weights!$B$20*3+'Data and calc.'!BD19/Weights!$B$10+'Data and calc.'!AV19/Weights!$B$11+'Data and calc.'!AW19/Weights!$B$13+'Data and calc.'!AX19/Weights!$B$14+'Data and calc.'!AY19/Weights!$B$15+AZ19/Weights!$B$16+B19/Weights!$B$19+'Data and calc.'!BA19/Weights!$B$6*5</f>
        <v>3.0120653238171</v>
      </c>
      <c r="BT19" s="84">
        <f>AR19/Weights!$B$5*8/'Data and calc.'!$BS19</f>
        <v>2.3975840055519999</v>
      </c>
      <c r="BU19" s="85">
        <f>AS19/Weights!$B$7*8/'Data and calc.'!$BS19</f>
        <v>7.8737527232598751E-3</v>
      </c>
      <c r="BV19" s="85">
        <f>AT19/Weights!$B$8*8/'Data and calc.'!$BS19*2</f>
        <v>0.69963951591977436</v>
      </c>
      <c r="BW19" s="85">
        <f>BC19/Weights!$B$20*8/'Data and calc.'!$BS19*2</f>
        <v>0.12578229737130547</v>
      </c>
      <c r="BX19" s="85">
        <f>BD19/Weights!$B$10*8/'Data and calc.'!$BS19</f>
        <v>0.11319215726271964</v>
      </c>
      <c r="BY19" s="85">
        <f>AV19/Weights!$B$11*8/'Data and calc.'!$BS19</f>
        <v>5.3188339331688237E-3</v>
      </c>
      <c r="BZ19" s="85">
        <f>AW19/Weights!$B$13*8/'Data and calc.'!$BS19</f>
        <v>0.54795465995582138</v>
      </c>
      <c r="CA19" s="85">
        <f>AX19/Weights!$B$14*8/'Data and calc.'!$BS19</f>
        <v>0.4530382394604428</v>
      </c>
      <c r="CB19" s="85">
        <f>AY19/Weights!$B$15*8/'Data and calc.'!$BS19*2</f>
        <v>0.16639519620818335</v>
      </c>
      <c r="CC19" s="85">
        <f>AZ19/Weights!$B$16*8/'Data and calc.'!$BS19*2</f>
        <v>1.4953941215775002E-2</v>
      </c>
      <c r="CD19" s="85">
        <f>BA19/Weights!$B$6*8/'Data and calc.'!$BS19*2</f>
        <v>0</v>
      </c>
      <c r="CE19" s="85">
        <f>B19/Weights!$B$19*8/'Data and calc.'!$BS19*2</f>
        <v>1.4815466083774544</v>
      </c>
      <c r="CF19" s="85">
        <f t="shared" si="83"/>
        <v>12.923518286265358</v>
      </c>
      <c r="CG19" s="85">
        <f t="shared" si="84"/>
        <v>0.95221181897632767</v>
      </c>
      <c r="CH19" s="85">
        <f t="shared" si="101"/>
        <v>0.32692719082927008</v>
      </c>
      <c r="CI19" s="85">
        <f>AR19/Weights!$B$5*2+AS19/Weights!$B$7*2+AT19/Weights!$B$8*3+'Data and calc.'!BC19/Weights!$B$20*3+'Data and calc.'!BD19/Weights!$B$10+'Data and calc.'!AV19/Weights!$B$11+'Data and calc.'!AW19/Weights!$B$13+'Data and calc.'!AX19/Weights!$B$14+'Data and calc.'!AY19/Weights!$B$15+AZ19/Weights!$B$16+'Data and calc.'!BA19/Weights!$B$6*5</f>
        <v>2.7331581260225648</v>
      </c>
      <c r="CJ19" s="84">
        <f>AR19/Weights!$B$5*8/'Data and calc.'!$CI19</f>
        <v>2.6422472872329021</v>
      </c>
      <c r="CK19" s="85">
        <f>AS19/Weights!$B$7*8/'Data and calc.'!$CI19</f>
        <v>8.677235802874923E-3</v>
      </c>
      <c r="CL19" s="85">
        <f>AT19/Weights!$B$8*8/'Data and calc.'!$CI19*2</f>
        <v>0.77103476195168963</v>
      </c>
      <c r="CM19" s="85">
        <f>BC19/Weights!$B$20*8/'Data and calc.'!$CI19*2</f>
        <v>0.13861784748382028</v>
      </c>
      <c r="CN19" s="85">
        <f>BD19/Weights!$B$10*8/'Data and calc.'!$CI19</f>
        <v>0.12474293696107759</v>
      </c>
      <c r="CO19" s="85">
        <f>AV19/Weights!$B$11*8/'Data and calc.'!$CI19</f>
        <v>5.8615983834618673E-3</v>
      </c>
      <c r="CP19" s="85">
        <f>AW19/Weights!$B$13*8/'Data and calc.'!$CI19</f>
        <v>0.60387110960125034</v>
      </c>
      <c r="CQ19" s="85">
        <f>AX19/Weights!$B$14*8/'Data and calc.'!$CI19</f>
        <v>0.49926887085298544</v>
      </c>
      <c r="CR19" s="85">
        <f>AY19/Weights!$B$15*8/'Data and calc.'!$CI19*2</f>
        <v>0.18337512044272913</v>
      </c>
      <c r="CS19" s="85">
        <f>AZ19/Weights!$B$16*8/'Data and calc.'!$CI19*2</f>
        <v>1.6479927510078991E-2</v>
      </c>
      <c r="CT19" s="85">
        <f>BA19/Weights!$B$6*8/'Data and calc.'!$CI19*2</f>
        <v>0</v>
      </c>
      <c r="CU19" s="85">
        <f t="shared" si="85"/>
        <v>7.9999999999999991</v>
      </c>
      <c r="CV19" s="85">
        <f t="shared" si="86"/>
        <v>14.242308529885149</v>
      </c>
      <c r="CW19" s="85">
        <f t="shared" si="87"/>
        <v>0.493653529953132</v>
      </c>
      <c r="CX19" s="113"/>
      <c r="CY19" s="90">
        <f t="shared" si="88"/>
        <v>5.0729858204270215E-2</v>
      </c>
      <c r="CZ19" s="91">
        <f t="shared" si="89"/>
        <v>4.8280590684811333</v>
      </c>
      <c r="DA19" s="85">
        <f t="shared" si="90"/>
        <v>-0.19645409978741846</v>
      </c>
      <c r="DB19" s="85">
        <f t="shared" si="91"/>
        <v>0.19645409978741846</v>
      </c>
      <c r="DC19" s="85">
        <f t="shared" si="92"/>
        <v>3.859421332328497E-2</v>
      </c>
      <c r="DD19" s="117"/>
      <c r="DE19" s="97"/>
      <c r="DF19" s="91">
        <f t="shared" si="93"/>
        <v>4.8374023354496272</v>
      </c>
      <c r="DG19" s="85">
        <f t="shared" si="94"/>
        <v>-0.1871108328189246</v>
      </c>
      <c r="DH19" s="85">
        <f t="shared" si="95"/>
        <v>0.1871108328189246</v>
      </c>
      <c r="DI19" s="85">
        <f t="shared" si="105"/>
        <v>3.501046375819155E-2</v>
      </c>
      <c r="DK19" s="117"/>
      <c r="DL19" s="99">
        <f>'Eq. 3 coef.'!$B$15+'Eq. 3 coef.'!$B$16*'Data and calc.'!G19^2+'Eq. 3 coef.'!$B$17*'Data and calc.'!G19+'Eq. 3 coef.'!$B$18*'Data and calc.'!BF19+'Eq. 3 coef.'!$B$19*'Data and calc.'!BG19+'Eq. 3 coef.'!$B$20*'Data and calc.'!BH19+'Eq. 3 coef.'!$B$21*'Data and calc.'!BI19+'Eq. 3 coef.'!$B$22*'Data and calc.'!BJ19+'Eq. 3 coef.'!$B$23*'Data and calc.'!BK19+'Eq. 3 coef.'!$B$24*'Data and calc.'!BL19+'Eq. 3 coef.'!$B$25*'Data and calc.'!BM19+'Eq. 3 coef.'!$B$26*'Data and calc.'!BN19+'Eq. 3 coef.'!$B$27*'Data and calc.'!BO19+'Eq. 3 coef.'!$B$28*'Data and calc.'!BP19</f>
        <v>4.8849873516332991</v>
      </c>
      <c r="DM19" s="85">
        <f t="shared" si="96"/>
        <v>-0.13952581663525265</v>
      </c>
      <c r="DN19" s="85">
        <f t="shared" si="97"/>
        <v>0.13952581663525265</v>
      </c>
      <c r="DO19" s="85">
        <f t="shared" si="33"/>
        <v>1.9467453507734146E-2</v>
      </c>
      <c r="DP19" s="117"/>
      <c r="DQ19" s="99">
        <f>'Eq. 4 coef.'!$B$15+'Eq. 4 coef.'!$B$16*'Data and calc.'!G19^2+'Eq. 4 coef.'!$B$17*'Data and calc.'!G19+'Eq. 4 coef.'!$B$18*'Data and calc.'!O19+'Eq. 4 coef.'!$B$19*'Data and calc.'!P19+'Eq. 4 coef.'!$B$20*'Data and calc.'!Q19+'Eq. 4 coef.'!$B$21*'Data and calc.'!R19+'Eq. 4 coef.'!$B$22*'Data and calc.'!S19+'Eq. 4 coef.'!$B$23*'Data and calc.'!T19+'Eq. 4 coef.'!$B$24*'Data and calc.'!U19+'Eq. 4 coef.'!$B$25*'Data and calc.'!V19+'Eq. 4 coef.'!$B$26*'Data and calc.'!W19+'Eq. 4 coef.'!$B$27*'Data and calc.'!X19</f>
        <v>4.8380263013104923</v>
      </c>
      <c r="DR19" s="85">
        <f t="shared" si="98"/>
        <v>-0.18648686695805949</v>
      </c>
      <c r="DS19" s="85">
        <f t="shared" si="99"/>
        <v>0.18648686695805949</v>
      </c>
      <c r="DT19" s="85">
        <f t="shared" si="100"/>
        <v>3.4777351547832985E-2</v>
      </c>
    </row>
    <row r="20" spans="1:124" ht="15" x14ac:dyDescent="0.2">
      <c r="A20" s="66" t="s">
        <v>617</v>
      </c>
      <c r="B20" s="73">
        <v>1.17</v>
      </c>
      <c r="C20" s="73">
        <v>0.1</v>
      </c>
      <c r="D20" s="126">
        <f t="shared" si="40"/>
        <v>8.5470085470085468</v>
      </c>
      <c r="E20" s="72">
        <f t="shared" si="41"/>
        <v>1.1838510573712435E-2</v>
      </c>
      <c r="F20" s="64">
        <f t="shared" si="42"/>
        <v>2.6229633309079818</v>
      </c>
      <c r="G20" s="73">
        <v>1.6195565229123625</v>
      </c>
      <c r="H20" s="73">
        <v>8.5617069739084117E-2</v>
      </c>
      <c r="I20" s="126">
        <f t="shared" si="102"/>
        <v>5.2864514777862448</v>
      </c>
      <c r="J20" s="74">
        <v>1260</v>
      </c>
      <c r="K20" s="74">
        <v>200</v>
      </c>
      <c r="L20" s="73">
        <v>0.13429132790018011</v>
      </c>
      <c r="M20" s="70">
        <v>2.2999999999999998</v>
      </c>
      <c r="N20" s="64">
        <f t="shared" si="43"/>
        <v>0.55609593648111422</v>
      </c>
      <c r="O20" s="76">
        <v>61.222855999199446</v>
      </c>
      <c r="P20" s="73">
        <v>0.18012608826178328</v>
      </c>
      <c r="Q20" s="73">
        <v>12.678875212648856</v>
      </c>
      <c r="R20" s="73">
        <v>7.1149804863404391</v>
      </c>
      <c r="S20" s="73">
        <v>0.12008405884118885</v>
      </c>
      <c r="T20" s="73">
        <v>7.8254778344841398</v>
      </c>
      <c r="U20" s="73">
        <v>8.175723006104274</v>
      </c>
      <c r="V20" s="73">
        <v>2.1915340738516966</v>
      </c>
      <c r="W20" s="73">
        <v>0.49034324026818782</v>
      </c>
      <c r="X20" s="73">
        <v>0</v>
      </c>
      <c r="Y20" s="73">
        <f t="shared" si="103"/>
        <v>100.00000000000001</v>
      </c>
      <c r="Z20" s="73">
        <v>2.6818773141198844</v>
      </c>
      <c r="AA20" s="73">
        <v>0.44656913342142912</v>
      </c>
      <c r="AB20" s="59">
        <f t="shared" si="44"/>
        <v>2.2657760378774401</v>
      </c>
      <c r="AC20" s="60">
        <f t="shared" si="45"/>
        <v>5.0737408125769798</v>
      </c>
      <c r="AD20" s="57">
        <f t="shared" si="46"/>
        <v>100.22453636411399</v>
      </c>
      <c r="AE20" s="57"/>
      <c r="AF20" s="57">
        <f t="shared" si="47"/>
        <v>60.506548584008812</v>
      </c>
      <c r="AG20" s="57">
        <f t="shared" si="48"/>
        <v>0.17801861302912042</v>
      </c>
      <c r="AH20" s="57">
        <f t="shared" si="49"/>
        <v>12.530532372660865</v>
      </c>
      <c r="AI20" s="57">
        <f t="shared" si="50"/>
        <v>7.0317352146502561</v>
      </c>
      <c r="AJ20" s="57">
        <f t="shared" si="51"/>
        <v>0.11867907535274692</v>
      </c>
      <c r="AK20" s="57">
        <f t="shared" si="52"/>
        <v>7.7339197438206746</v>
      </c>
      <c r="AL20" s="57">
        <f t="shared" si="53"/>
        <v>8.0800670469328537</v>
      </c>
      <c r="AM20" s="57">
        <f t="shared" si="54"/>
        <v>2.1658931251876314</v>
      </c>
      <c r="AN20" s="57">
        <f t="shared" si="55"/>
        <v>0.48460622435704998</v>
      </c>
      <c r="AO20" s="57">
        <f t="shared" si="56"/>
        <v>0</v>
      </c>
      <c r="AP20" s="57">
        <f t="shared" si="57"/>
        <v>98.830000000000013</v>
      </c>
      <c r="AQ20" s="57"/>
      <c r="AR20" s="84">
        <f t="shared" si="58"/>
        <v>60.370993749663839</v>
      </c>
      <c r="AS20" s="85">
        <f t="shared" si="59"/>
        <v>0.17761979200620284</v>
      </c>
      <c r="AT20" s="85">
        <f t="shared" si="60"/>
        <v>12.502459803992167</v>
      </c>
      <c r="AU20" s="85">
        <f t="shared" si="61"/>
        <v>7.015981784245013</v>
      </c>
      <c r="AV20" s="85">
        <f t="shared" si="62"/>
        <v>0.11841319467080189</v>
      </c>
      <c r="AW20" s="85">
        <f t="shared" si="63"/>
        <v>7.7165931860472563</v>
      </c>
      <c r="AX20" s="85">
        <f t="shared" si="64"/>
        <v>8.0619650038370967</v>
      </c>
      <c r="AY20" s="85">
        <f t="shared" si="65"/>
        <v>2.1610408027421348</v>
      </c>
      <c r="AZ20" s="85">
        <f t="shared" si="66"/>
        <v>0.4835205449057744</v>
      </c>
      <c r="BA20" s="85">
        <f t="shared" si="67"/>
        <v>0</v>
      </c>
      <c r="BB20" s="85">
        <f t="shared" si="104"/>
        <v>98.608587862110312</v>
      </c>
      <c r="BC20" s="85">
        <f t="shared" si="68"/>
        <v>2.2342497550690164</v>
      </c>
      <c r="BD20" s="85">
        <f t="shared" si="69"/>
        <v>5.0031441670657184</v>
      </c>
      <c r="BE20" s="85">
        <f t="shared" si="70"/>
        <v>100.00000000000003</v>
      </c>
      <c r="BF20" s="84">
        <f t="shared" si="71"/>
        <v>61.085696397514766</v>
      </c>
      <c r="BG20" s="85">
        <f t="shared" si="72"/>
        <v>0.17972254579196889</v>
      </c>
      <c r="BH20" s="85">
        <f t="shared" si="73"/>
        <v>12.650470306579143</v>
      </c>
      <c r="BI20" s="85">
        <f t="shared" si="74"/>
        <v>2.2606999444187155</v>
      </c>
      <c r="BJ20" s="85">
        <f t="shared" si="75"/>
        <v>5.0623739421893337</v>
      </c>
      <c r="BK20" s="85">
        <f t="shared" si="76"/>
        <v>0.11981503052797925</v>
      </c>
      <c r="BL20" s="85">
        <f t="shared" si="77"/>
        <v>7.8079461560733145</v>
      </c>
      <c r="BM20" s="85">
        <f t="shared" si="78"/>
        <v>8.1574066617799215</v>
      </c>
      <c r="BN20" s="85">
        <f t="shared" si="79"/>
        <v>2.1866243071356215</v>
      </c>
      <c r="BO20" s="85">
        <f t="shared" si="80"/>
        <v>0.48924470798924857</v>
      </c>
      <c r="BP20" s="85">
        <f t="shared" si="81"/>
        <v>0</v>
      </c>
      <c r="BQ20" s="85">
        <f t="shared" si="82"/>
        <v>100</v>
      </c>
      <c r="BR20" s="85"/>
      <c r="BS20" s="82">
        <f>AR20/Weights!$B$5*2+AS20/Weights!$B$7*2+AT20/Weights!$B$8*3+'Data and calc.'!BC20/Weights!$B$20*3+'Data and calc.'!BD20/Weights!$B$10+'Data and calc.'!AV20/Weights!$B$11+'Data and calc.'!AW20/Weights!$B$13+'Data and calc.'!AX20/Weights!$B$14+'Data and calc.'!AY20/Weights!$B$15+AZ20/Weights!$B$16+B20/Weights!$B$19+'Data and calc.'!BA20/Weights!$B$6*5</f>
        <v>2.9353528014266086</v>
      </c>
      <c r="BT20" s="84">
        <f>AR20/Weights!$B$5*8/'Data and calc.'!$BS20</f>
        <v>2.7384599620350705</v>
      </c>
      <c r="BU20" s="85">
        <f>AS20/Weights!$B$7*8/'Data and calc.'!$BS20</f>
        <v>6.0612827178332307E-3</v>
      </c>
      <c r="BV20" s="85">
        <f>AT20/Weights!$B$8*8/'Data and calc.'!$BS20*2</f>
        <v>0.66838237324889915</v>
      </c>
      <c r="BW20" s="85">
        <f>BC20/Weights!$B$20*8/'Data and calc.'!$BS20*2</f>
        <v>7.6264395615595379E-2</v>
      </c>
      <c r="BX20" s="85">
        <f>BD20/Weights!$B$10*8/'Data and calc.'!$BS20</f>
        <v>0.18979387525242369</v>
      </c>
      <c r="BY20" s="85">
        <f>AV20/Weights!$B$11*8/'Data and calc.'!$BS20</f>
        <v>4.5494268999025003E-3</v>
      </c>
      <c r="BZ20" s="85">
        <f>AW20/Weights!$B$13*8/'Data and calc.'!$BS20</f>
        <v>0.52180367706972175</v>
      </c>
      <c r="CA20" s="85">
        <f>AX20/Weights!$B$14*8/'Data and calc.'!$BS20</f>
        <v>0.39181929337262117</v>
      </c>
      <c r="CB20" s="85">
        <f>AY20/Weights!$B$15*8/'Data and calc.'!$BS20*2</f>
        <v>0.19005588037409518</v>
      </c>
      <c r="CC20" s="85">
        <f>AZ20/Weights!$B$16*8/'Data and calc.'!$BS20*2</f>
        <v>2.7979760400141118E-2</v>
      </c>
      <c r="CD20" s="85">
        <f>BA20/Weights!$B$6*8/'Data and calc.'!$BS20*2</f>
        <v>0</v>
      </c>
      <c r="CE20" s="85">
        <f>B20/Weights!$B$19*8/'Data and calc.'!$BS20*2</f>
        <v>0.35400652843132724</v>
      </c>
      <c r="CF20" s="85">
        <f t="shared" si="83"/>
        <v>13.956672054469593</v>
      </c>
      <c r="CG20" s="85">
        <f t="shared" si="84"/>
        <v>0.58562039361698304</v>
      </c>
      <c r="CH20" s="85">
        <f t="shared" si="101"/>
        <v>7.3519010502063678E-2</v>
      </c>
      <c r="CI20" s="85">
        <f>AR20/Weights!$B$5*2+AS20/Weights!$B$7*2+AT20/Weights!$B$8*3+'Data and calc.'!BC20/Weights!$B$20*3+'Data and calc.'!BD20/Weights!$B$10+'Data and calc.'!AV20/Weights!$B$11+'Data and calc.'!AW20/Weights!$B$13+'Data and calc.'!AX20/Weights!$B$14+'Data and calc.'!AY20/Weights!$B$15+AZ20/Weights!$B$16+'Data and calc.'!BA20/Weights!$B$6*5</f>
        <v>2.8704069229919709</v>
      </c>
      <c r="CJ20" s="84">
        <f>AR20/Weights!$B$5*8/'Data and calc.'!$CI20</f>
        <v>2.8004204061685694</v>
      </c>
      <c r="CK20" s="85">
        <f>AS20/Weights!$B$7*8/'Data and calc.'!$CI20</f>
        <v>6.1984254091350059E-3</v>
      </c>
      <c r="CL20" s="85">
        <f>AT20/Weights!$B$8*8/'Data and calc.'!$CI20*2</f>
        <v>0.68350520479350485</v>
      </c>
      <c r="CM20" s="85">
        <f>BC20/Weights!$B$20*8/'Data and calc.'!$CI20*2</f>
        <v>7.7989955196318086E-2</v>
      </c>
      <c r="CN20" s="85">
        <f>BD20/Weights!$B$10*8/'Data and calc.'!$CI20</f>
        <v>0.19408815487216985</v>
      </c>
      <c r="CO20" s="85">
        <f>AV20/Weights!$B$11*8/'Data and calc.'!$CI20</f>
        <v>4.6523623143977936E-3</v>
      </c>
      <c r="CP20" s="85">
        <f>AW20/Weights!$B$13*8/'Data and calc.'!$CI20</f>
        <v>0.53361001641006611</v>
      </c>
      <c r="CQ20" s="85">
        <f>AX20/Weights!$B$14*8/'Data and calc.'!$CI20</f>
        <v>0.40068460372004716</v>
      </c>
      <c r="CR20" s="85">
        <f>AY20/Weights!$B$15*8/'Data and calc.'!$CI20*2</f>
        <v>0.19435608812641553</v>
      </c>
      <c r="CS20" s="85">
        <f>AZ20/Weights!$B$16*8/'Data and calc.'!$CI20*2</f>
        <v>2.8612830959936077E-2</v>
      </c>
      <c r="CT20" s="85">
        <f>BA20/Weights!$B$6*8/'Data and calc.'!$CI20*2</f>
        <v>0</v>
      </c>
      <c r="CU20" s="85">
        <f t="shared" si="85"/>
        <v>7.9999999999999991</v>
      </c>
      <c r="CV20" s="85">
        <f t="shared" si="86"/>
        <v>14.272455966270108</v>
      </c>
      <c r="CW20" s="85">
        <f t="shared" si="87"/>
        <v>0.48416167135146804</v>
      </c>
      <c r="CX20" s="113"/>
      <c r="CY20" s="90">
        <f t="shared" si="88"/>
        <v>1.027438166227544E-2</v>
      </c>
      <c r="CZ20" s="91">
        <f t="shared" si="89"/>
        <v>1.0169892307246551</v>
      </c>
      <c r="DA20" s="85">
        <f t="shared" si="90"/>
        <v>-0.15301076927534485</v>
      </c>
      <c r="DB20" s="85">
        <f t="shared" si="91"/>
        <v>0.15301076927534485</v>
      </c>
      <c r="DC20" s="85">
        <f t="shared" si="92"/>
        <v>2.3412295514232816E-2</v>
      </c>
      <c r="DD20" s="117"/>
      <c r="DE20" s="97"/>
      <c r="DF20" s="91">
        <f t="shared" si="93"/>
        <v>1.0124767659735219</v>
      </c>
      <c r="DG20" s="85">
        <f t="shared" si="94"/>
        <v>-0.15752323402647805</v>
      </c>
      <c r="DH20" s="85">
        <f t="shared" si="95"/>
        <v>0.15752323402647805</v>
      </c>
      <c r="DI20" s="85">
        <f t="shared" si="105"/>
        <v>2.4813569258160573E-2</v>
      </c>
      <c r="DK20" s="117"/>
      <c r="DL20" s="99">
        <f>'Eq. 3 coef.'!$B$15+'Eq. 3 coef.'!$B$16*'Data and calc.'!G20^2+'Eq. 3 coef.'!$B$17*'Data and calc.'!G20+'Eq. 3 coef.'!$B$18*'Data and calc.'!BF20+'Eq. 3 coef.'!$B$19*'Data and calc.'!BG20+'Eq. 3 coef.'!$B$20*'Data and calc.'!BH20+'Eq. 3 coef.'!$B$21*'Data and calc.'!BI20+'Eq. 3 coef.'!$B$22*'Data and calc.'!BJ20+'Eq. 3 coef.'!$B$23*'Data and calc.'!BK20+'Eq. 3 coef.'!$B$24*'Data and calc.'!BL20+'Eq. 3 coef.'!$B$25*'Data and calc.'!BM20+'Eq. 3 coef.'!$B$26*'Data and calc.'!BN20+'Eq. 3 coef.'!$B$27*'Data and calc.'!BO20+'Eq. 3 coef.'!$B$28*'Data and calc.'!BP20</f>
        <v>1.0320532785217438</v>
      </c>
      <c r="DM20" s="85">
        <f t="shared" si="96"/>
        <v>-0.13794672147825615</v>
      </c>
      <c r="DN20" s="85">
        <f t="shared" si="97"/>
        <v>0.13794672147825615</v>
      </c>
      <c r="DO20" s="85">
        <f t="shared" si="33"/>
        <v>1.9029297966599575E-2</v>
      </c>
      <c r="DP20" s="117"/>
      <c r="DQ20" s="99">
        <f>'Eq. 4 coef.'!$B$15+'Eq. 4 coef.'!$B$16*'Data and calc.'!G20^2+'Eq. 4 coef.'!$B$17*'Data and calc.'!G20+'Eq. 4 coef.'!$B$18*'Data and calc.'!O20+'Eq. 4 coef.'!$B$19*'Data and calc.'!P20+'Eq. 4 coef.'!$B$20*'Data and calc.'!Q20+'Eq. 4 coef.'!$B$21*'Data and calc.'!R20+'Eq. 4 coef.'!$B$22*'Data and calc.'!S20+'Eq. 4 coef.'!$B$23*'Data and calc.'!T20+'Eq. 4 coef.'!$B$24*'Data and calc.'!U20+'Eq. 4 coef.'!$B$25*'Data and calc.'!V20+'Eq. 4 coef.'!$B$26*'Data and calc.'!W20+'Eq. 4 coef.'!$B$27*'Data and calc.'!X20</f>
        <v>1.0310929306610888</v>
      </c>
      <c r="DR20" s="85">
        <f t="shared" si="98"/>
        <v>-0.13890706933891117</v>
      </c>
      <c r="DS20" s="85">
        <f t="shared" si="99"/>
        <v>0.13890706933891117</v>
      </c>
      <c r="DT20" s="85">
        <f t="shared" si="100"/>
        <v>1.9295173912325075E-2</v>
      </c>
    </row>
    <row r="21" spans="1:124" ht="15" x14ac:dyDescent="0.2">
      <c r="A21" s="66" t="s">
        <v>618</v>
      </c>
      <c r="B21" s="73">
        <v>1.77</v>
      </c>
      <c r="C21" s="73">
        <v>0.13</v>
      </c>
      <c r="D21" s="126">
        <f t="shared" si="40"/>
        <v>7.3446327683615822</v>
      </c>
      <c r="E21" s="72">
        <f t="shared" si="41"/>
        <v>1.801893515219383E-2</v>
      </c>
      <c r="F21" s="64">
        <f t="shared" si="42"/>
        <v>7.1811897385953412</v>
      </c>
      <c r="G21" s="73">
        <v>2.6797741954491876</v>
      </c>
      <c r="H21" s="73">
        <v>6.8932631243333028E-2</v>
      </c>
      <c r="I21" s="126">
        <f t="shared" si="102"/>
        <v>2.5723298388496665</v>
      </c>
      <c r="J21" s="74">
        <v>1260</v>
      </c>
      <c r="K21" s="74">
        <v>200</v>
      </c>
      <c r="L21" s="73">
        <v>0.26134117529909118</v>
      </c>
      <c r="M21" s="70">
        <v>2.2999999999999998</v>
      </c>
      <c r="N21" s="64">
        <f t="shared" si="43"/>
        <v>1.1344156797409672</v>
      </c>
      <c r="O21" s="76">
        <v>61.222855999199446</v>
      </c>
      <c r="P21" s="73">
        <v>0.18012608826178328</v>
      </c>
      <c r="Q21" s="73">
        <v>12.678875212648856</v>
      </c>
      <c r="R21" s="73">
        <v>7.1149804863404391</v>
      </c>
      <c r="S21" s="73">
        <v>0.12008405884118885</v>
      </c>
      <c r="T21" s="73">
        <v>7.8254778344841398</v>
      </c>
      <c r="U21" s="73">
        <v>8.175723006104274</v>
      </c>
      <c r="V21" s="73">
        <v>2.1915340738516966</v>
      </c>
      <c r="W21" s="73">
        <v>0.49034324026818782</v>
      </c>
      <c r="X21" s="73">
        <v>0</v>
      </c>
      <c r="Y21" s="73">
        <f t="shared" si="103"/>
        <v>100.00000000000001</v>
      </c>
      <c r="Z21" s="73">
        <v>2.6818773141198844</v>
      </c>
      <c r="AA21" s="73">
        <v>0.62300952936621445</v>
      </c>
      <c r="AB21" s="59">
        <f t="shared" si="44"/>
        <v>2.8391636812932592</v>
      </c>
      <c r="AC21" s="60">
        <f t="shared" si="45"/>
        <v>4.5571753680582239</v>
      </c>
      <c r="AD21" s="57">
        <f t="shared" si="46"/>
        <v>100.28135856301104</v>
      </c>
      <c r="AE21" s="57"/>
      <c r="AF21" s="57">
        <f t="shared" si="47"/>
        <v>60.139211448013619</v>
      </c>
      <c r="AG21" s="57">
        <f t="shared" si="48"/>
        <v>0.17693785649954971</v>
      </c>
      <c r="AH21" s="57">
        <f t="shared" si="49"/>
        <v>12.454459121384973</v>
      </c>
      <c r="AI21" s="57">
        <f t="shared" si="50"/>
        <v>6.9890453317322132</v>
      </c>
      <c r="AJ21" s="57">
        <f t="shared" si="51"/>
        <v>0.11795857099969981</v>
      </c>
      <c r="AK21" s="57">
        <f t="shared" si="52"/>
        <v>7.6869668768137709</v>
      </c>
      <c r="AL21" s="57">
        <f t="shared" si="53"/>
        <v>8.0310127088962293</v>
      </c>
      <c r="AM21" s="57">
        <f t="shared" si="54"/>
        <v>2.1527439207445216</v>
      </c>
      <c r="AN21" s="57">
        <f t="shared" si="55"/>
        <v>0.4816641649154409</v>
      </c>
      <c r="AO21" s="57">
        <f t="shared" si="56"/>
        <v>0</v>
      </c>
      <c r="AP21" s="57">
        <f t="shared" si="57"/>
        <v>98.230000000000032</v>
      </c>
      <c r="AQ21" s="57"/>
      <c r="AR21" s="84">
        <f t="shared" si="58"/>
        <v>59.970479369030087</v>
      </c>
      <c r="AS21" s="85">
        <f t="shared" si="59"/>
        <v>0.17644142344598587</v>
      </c>
      <c r="AT21" s="85">
        <f t="shared" si="60"/>
        <v>12.419515750336895</v>
      </c>
      <c r="AU21" s="85">
        <f t="shared" si="61"/>
        <v>6.9694362261164411</v>
      </c>
      <c r="AV21" s="85">
        <f t="shared" si="62"/>
        <v>0.11762761563065724</v>
      </c>
      <c r="AW21" s="85">
        <f t="shared" si="63"/>
        <v>7.6653996185978297</v>
      </c>
      <c r="AX21" s="85">
        <f t="shared" si="64"/>
        <v>8.0084801641872474</v>
      </c>
      <c r="AY21" s="85">
        <f t="shared" si="65"/>
        <v>2.1467039852594949</v>
      </c>
      <c r="AZ21" s="85">
        <f t="shared" si="66"/>
        <v>0.48031276382518379</v>
      </c>
      <c r="BA21" s="85">
        <f t="shared" si="67"/>
        <v>0</v>
      </c>
      <c r="BB21" s="85">
        <f t="shared" si="104"/>
        <v>97.954396916429815</v>
      </c>
      <c r="BC21" s="85">
        <f t="shared" si="68"/>
        <v>2.7810856614811192</v>
      </c>
      <c r="BD21" s="85">
        <f t="shared" si="69"/>
        <v>4.463953648205524</v>
      </c>
      <c r="BE21" s="85">
        <f t="shared" si="70"/>
        <v>100</v>
      </c>
      <c r="BF21" s="84">
        <f t="shared" si="71"/>
        <v>61.051083547826622</v>
      </c>
      <c r="BG21" s="85">
        <f t="shared" si="72"/>
        <v>0.17962071001321986</v>
      </c>
      <c r="BH21" s="85">
        <f t="shared" si="73"/>
        <v>12.643302199263866</v>
      </c>
      <c r="BI21" s="85">
        <f t="shared" si="74"/>
        <v>2.8311978636680437</v>
      </c>
      <c r="BJ21" s="85">
        <f t="shared" si="75"/>
        <v>4.5443893395149386</v>
      </c>
      <c r="BK21" s="85">
        <f t="shared" si="76"/>
        <v>0.11974714000881322</v>
      </c>
      <c r="BL21" s="85">
        <f t="shared" si="77"/>
        <v>7.8035219572409948</v>
      </c>
      <c r="BM21" s="85">
        <f t="shared" si="78"/>
        <v>8.1527844489333674</v>
      </c>
      <c r="BN21" s="85">
        <f t="shared" si="79"/>
        <v>2.1853853051608416</v>
      </c>
      <c r="BO21" s="85">
        <f t="shared" si="80"/>
        <v>0.48896748836932075</v>
      </c>
      <c r="BP21" s="85">
        <f t="shared" si="81"/>
        <v>0</v>
      </c>
      <c r="BQ21" s="85">
        <f t="shared" si="82"/>
        <v>100.00000000000001</v>
      </c>
      <c r="BR21" s="85"/>
      <c r="BS21" s="82">
        <f>AR21/Weights!$B$5*2+AS21/Weights!$B$7*2+AT21/Weights!$B$8*3+'Data and calc.'!BC21/Weights!$B$20*3+'Data and calc.'!BD21/Weights!$B$10+'Data and calc.'!AV21/Weights!$B$11+'Data and calc.'!AW21/Weights!$B$13+'Data and calc.'!AX21/Weights!$B$14+'Data and calc.'!AY21/Weights!$B$15+AZ21/Weights!$B$16+B21/Weights!$B$19+'Data and calc.'!BA21/Weights!$B$6*5</f>
        <v>2.9531241918464897</v>
      </c>
      <c r="BT21" s="84">
        <f>AR21/Weights!$B$5*8/'Data and calc.'!$BS21</f>
        <v>2.7039221704207246</v>
      </c>
      <c r="BU21" s="85">
        <f>AS21/Weights!$B$7*8/'Data and calc.'!$BS21</f>
        <v>5.984837079654688E-3</v>
      </c>
      <c r="BV21" s="85">
        <f>AT21/Weights!$B$8*8/'Data and calc.'!$BS21*2</f>
        <v>0.65995265309742501</v>
      </c>
      <c r="BW21" s="85">
        <f>BC21/Weights!$B$20*8/'Data and calc.'!$BS21*2</f>
        <v>9.4358944735101757E-2</v>
      </c>
      <c r="BX21" s="85">
        <f>BD21/Weights!$B$10*8/'Data and calc.'!$BS21</f>
        <v>0.16832066871994464</v>
      </c>
      <c r="BY21" s="85">
        <f>AV21/Weights!$B$11*8/'Data and calc.'!$BS21</f>
        <v>4.4920489720116858E-3</v>
      </c>
      <c r="BZ21" s="85">
        <f>AW21/Weights!$B$13*8/'Data and calc.'!$BS21</f>
        <v>0.5152226253428086</v>
      </c>
      <c r="CA21" s="85">
        <f>AX21/Weights!$B$14*8/'Data and calc.'!$BS21</f>
        <v>0.38687762057382391</v>
      </c>
      <c r="CB21" s="85">
        <f>AY21/Weights!$B$15*8/'Data and calc.'!$BS21*2</f>
        <v>0.18765887239061407</v>
      </c>
      <c r="CC21" s="85">
        <f>AZ21/Weights!$B$16*8/'Data and calc.'!$BS21*2</f>
        <v>2.7626876243528786E-2</v>
      </c>
      <c r="CD21" s="85">
        <f>BA21/Weights!$B$6*8/'Data and calc.'!$BS21*2</f>
        <v>0</v>
      </c>
      <c r="CE21" s="85">
        <f>B21/Weights!$B$19*8/'Data and calc.'!$BS21*2</f>
        <v>0.53232550064958339</v>
      </c>
      <c r="CF21" s="85">
        <f t="shared" si="83"/>
        <v>13.856874421331625</v>
      </c>
      <c r="CG21" s="85">
        <f t="shared" si="84"/>
        <v>0.61864617185797477</v>
      </c>
      <c r="CH21" s="85">
        <f t="shared" si="101"/>
        <v>0.11196440385696425</v>
      </c>
      <c r="CI21" s="85">
        <f>AR21/Weights!$B$5*2+AS21/Weights!$B$7*2+AT21/Weights!$B$8*3+'Data and calc.'!BC21/Weights!$B$20*3+'Data and calc.'!BD21/Weights!$B$10+'Data and calc.'!AV21/Weights!$B$11+'Data and calc.'!AW21/Weights!$B$13+'Data and calc.'!AX21/Weights!$B$14+'Data and calc.'!AY21/Weights!$B$15+AZ21/Weights!$B$16+'Data and calc.'!BA21/Weights!$B$6*5</f>
        <v>2.8548727347274223</v>
      </c>
      <c r="CJ21" s="84">
        <f>AR21/Weights!$B$5*8/'Data and calc.'!$CI21</f>
        <v>2.7969786103624346</v>
      </c>
      <c r="CK21" s="85">
        <f>AS21/Weights!$B$7*8/'Data and calc.'!$CI21</f>
        <v>6.1908073691682901E-3</v>
      </c>
      <c r="CL21" s="85">
        <f>AT21/Weights!$B$8*8/'Data and calc.'!$CI21*2</f>
        <v>0.68266515758411173</v>
      </c>
      <c r="CM21" s="85">
        <f>BC21/Weights!$B$20*8/'Data and calc.'!$CI21*2</f>
        <v>9.7606341265135343E-2</v>
      </c>
      <c r="CN21" s="85">
        <f>BD21/Weights!$B$10*8/'Data and calc.'!$CI21</f>
        <v>0.17411348419778391</v>
      </c>
      <c r="CO21" s="85">
        <f>AV21/Weights!$B$11*8/'Data and calc.'!$CI21</f>
        <v>4.6466444296591166E-3</v>
      </c>
      <c r="CP21" s="85">
        <f>AW21/Weights!$B$13*8/'Data and calc.'!$CI21</f>
        <v>0.53295419462254234</v>
      </c>
      <c r="CQ21" s="85">
        <f>AX21/Weights!$B$14*8/'Data and calc.'!$CI21</f>
        <v>0.40019215102057781</v>
      </c>
      <c r="CR21" s="85">
        <f>AY21/Weights!$B$15*8/'Data and calc.'!$CI21*2</f>
        <v>0.19411721900250231</v>
      </c>
      <c r="CS21" s="85">
        <f>AZ21/Weights!$B$16*8/'Data and calc.'!$CI21*2</f>
        <v>2.8577664982219801E-2</v>
      </c>
      <c r="CT21" s="85">
        <f>BA21/Weights!$B$6*8/'Data and calc.'!$CI21*2</f>
        <v>0</v>
      </c>
      <c r="CU21" s="85">
        <f t="shared" si="85"/>
        <v>8</v>
      </c>
      <c r="CV21" s="85">
        <f t="shared" si="86"/>
        <v>14.333763666323399</v>
      </c>
      <c r="CW21" s="85">
        <f t="shared" si="87"/>
        <v>0.4649822258731266</v>
      </c>
      <c r="CX21" s="113"/>
      <c r="CY21" s="90">
        <f t="shared" si="88"/>
        <v>1.9402855822817505E-2</v>
      </c>
      <c r="CZ21" s="91">
        <f t="shared" si="89"/>
        <v>1.903355058502006</v>
      </c>
      <c r="DA21" s="85">
        <f t="shared" si="90"/>
        <v>0.13335505850200602</v>
      </c>
      <c r="DB21" s="85">
        <f t="shared" si="91"/>
        <v>0.13335505850200602</v>
      </c>
      <c r="DC21" s="85">
        <f t="shared" si="92"/>
        <v>1.7783571628073449E-2</v>
      </c>
      <c r="DD21" s="117"/>
      <c r="DE21" s="97"/>
      <c r="DF21" s="91">
        <f t="shared" si="93"/>
        <v>1.9087559086731025</v>
      </c>
      <c r="DG21" s="85">
        <f t="shared" si="94"/>
        <v>0.1387559086731025</v>
      </c>
      <c r="DH21" s="85">
        <f t="shared" si="95"/>
        <v>0.1387559086731025</v>
      </c>
      <c r="DI21" s="85">
        <f t="shared" si="105"/>
        <v>1.9253202191698363E-2</v>
      </c>
      <c r="DK21" s="117"/>
      <c r="DL21" s="99">
        <f>'Eq. 3 coef.'!$B$15+'Eq. 3 coef.'!$B$16*'Data and calc.'!G21^2+'Eq. 3 coef.'!$B$17*'Data and calc.'!G21+'Eq. 3 coef.'!$B$18*'Data and calc.'!BF21+'Eq. 3 coef.'!$B$19*'Data and calc.'!BG21+'Eq. 3 coef.'!$B$20*'Data and calc.'!BH21+'Eq. 3 coef.'!$B$21*'Data and calc.'!BI21+'Eq. 3 coef.'!$B$22*'Data and calc.'!BJ21+'Eq. 3 coef.'!$B$23*'Data and calc.'!BK21+'Eq. 3 coef.'!$B$24*'Data and calc.'!BL21+'Eq. 3 coef.'!$B$25*'Data and calc.'!BM21+'Eq. 3 coef.'!$B$26*'Data and calc.'!BN21+'Eq. 3 coef.'!$B$27*'Data and calc.'!BO21+'Eq. 3 coef.'!$B$28*'Data and calc.'!BP21</f>
        <v>1.9419365948124323</v>
      </c>
      <c r="DM21" s="85">
        <f t="shared" si="96"/>
        <v>0.17193659481243229</v>
      </c>
      <c r="DN21" s="85">
        <f t="shared" si="97"/>
        <v>0.17193659481243229</v>
      </c>
      <c r="DO21" s="85">
        <f t="shared" si="33"/>
        <v>2.9562192635694515E-2</v>
      </c>
      <c r="DP21" s="117"/>
      <c r="DQ21" s="99">
        <f>'Eq. 4 coef.'!$B$15+'Eq. 4 coef.'!$B$16*'Data and calc.'!G21^2+'Eq. 4 coef.'!$B$17*'Data and calc.'!G21+'Eq. 4 coef.'!$B$18*'Data and calc.'!O21+'Eq. 4 coef.'!$B$19*'Data and calc.'!P21+'Eq. 4 coef.'!$B$20*'Data and calc.'!Q21+'Eq. 4 coef.'!$B$21*'Data and calc.'!R21+'Eq. 4 coef.'!$B$22*'Data and calc.'!S21+'Eq. 4 coef.'!$B$23*'Data and calc.'!T21+'Eq. 4 coef.'!$B$24*'Data and calc.'!U21+'Eq. 4 coef.'!$B$25*'Data and calc.'!V21+'Eq. 4 coef.'!$B$26*'Data and calc.'!W21+'Eq. 4 coef.'!$B$27*'Data and calc.'!X21</f>
        <v>1.9177365813116012</v>
      </c>
      <c r="DR21" s="85">
        <f t="shared" si="98"/>
        <v>0.14773658131160117</v>
      </c>
      <c r="DS21" s="85">
        <f t="shared" si="99"/>
        <v>0.14773658131160117</v>
      </c>
      <c r="DT21" s="85">
        <f t="shared" si="100"/>
        <v>2.1826097457639342E-2</v>
      </c>
    </row>
    <row r="22" spans="1:124" ht="15" x14ac:dyDescent="0.2">
      <c r="A22" s="66" t="s">
        <v>627</v>
      </c>
      <c r="B22" s="73">
        <v>4.9878143764463605</v>
      </c>
      <c r="C22" s="73">
        <v>0.12947800981617763</v>
      </c>
      <c r="D22" s="126">
        <f t="shared" si="40"/>
        <v>2.5958866959364695</v>
      </c>
      <c r="E22" s="72">
        <f t="shared" si="41"/>
        <v>5.2496575504625331E-2</v>
      </c>
      <c r="F22" s="64">
        <f t="shared" si="42"/>
        <v>36.632774147424385</v>
      </c>
      <c r="G22" s="73">
        <v>6.052501478514845</v>
      </c>
      <c r="H22" s="73">
        <v>7.0257717294536781E-2</v>
      </c>
      <c r="I22" s="126">
        <f>H22*100/G22</f>
        <v>1.1608046283662625</v>
      </c>
      <c r="J22" s="74">
        <v>1250</v>
      </c>
      <c r="K22" s="74">
        <v>500</v>
      </c>
      <c r="L22" s="73">
        <v>0.67969477209872831</v>
      </c>
      <c r="M22" s="70">
        <v>2.2999999999999998</v>
      </c>
      <c r="N22" s="64">
        <f t="shared" si="43"/>
        <v>1.9646278590812281</v>
      </c>
      <c r="O22" s="76">
        <v>61.222855999199446</v>
      </c>
      <c r="P22" s="73">
        <v>0.18012608826178328</v>
      </c>
      <c r="Q22" s="73">
        <v>12.678875212648856</v>
      </c>
      <c r="R22" s="73">
        <v>7.1149804863404391</v>
      </c>
      <c r="S22" s="73">
        <v>0.12008405884118885</v>
      </c>
      <c r="T22" s="73">
        <v>7.8254778344841398</v>
      </c>
      <c r="U22" s="73">
        <v>8.175723006104274</v>
      </c>
      <c r="V22" s="73">
        <v>2.1915340738516966</v>
      </c>
      <c r="W22" s="73">
        <v>0.49034324026818782</v>
      </c>
      <c r="X22" s="73">
        <v>0</v>
      </c>
      <c r="Y22" s="73">
        <f t="shared" si="103"/>
        <v>100.00000000000001</v>
      </c>
      <c r="Z22" s="73">
        <v>2.6818773141198844</v>
      </c>
      <c r="AA22" s="73">
        <v>1.0684647083759462</v>
      </c>
      <c r="AB22" s="59">
        <f t="shared" si="44"/>
        <v>3.8735248400132725</v>
      </c>
      <c r="AC22" s="60">
        <f t="shared" si="45"/>
        <v>3.6253184683104642</v>
      </c>
      <c r="AD22" s="57">
        <f t="shared" si="46"/>
        <v>100.3838628219833</v>
      </c>
      <c r="AE22" s="57"/>
      <c r="AF22" s="57">
        <f t="shared" si="47"/>
        <v>58.169173586000312</v>
      </c>
      <c r="AG22" s="57">
        <f t="shared" si="48"/>
        <v>0.1711417333357316</v>
      </c>
      <c r="AH22" s="57">
        <f t="shared" si="49"/>
        <v>12.046476452020663</v>
      </c>
      <c r="AI22" s="57">
        <f t="shared" si="50"/>
        <v>6.7600984667613968</v>
      </c>
      <c r="AJ22" s="57">
        <f t="shared" si="51"/>
        <v>0.11409448889048772</v>
      </c>
      <c r="AK22" s="57">
        <f t="shared" si="52"/>
        <v>7.4351575260301157</v>
      </c>
      <c r="AL22" s="57">
        <f t="shared" si="53"/>
        <v>7.7679331186273721</v>
      </c>
      <c r="AM22" s="57">
        <f t="shared" si="54"/>
        <v>2.082224422251401</v>
      </c>
      <c r="AN22" s="57">
        <f t="shared" si="55"/>
        <v>0.46588582963615821</v>
      </c>
      <c r="AO22" s="57">
        <f t="shared" si="56"/>
        <v>0</v>
      </c>
      <c r="AP22" s="57">
        <f t="shared" si="57"/>
        <v>95.012185623553634</v>
      </c>
      <c r="AQ22" s="57"/>
      <c r="AR22" s="84">
        <f t="shared" si="58"/>
        <v>57.946737603787163</v>
      </c>
      <c r="AS22" s="85">
        <f t="shared" si="59"/>
        <v>0.1704872959902205</v>
      </c>
      <c r="AT22" s="85">
        <f t="shared" si="60"/>
        <v>12.000411334422743</v>
      </c>
      <c r="AU22" s="85">
        <f t="shared" si="61"/>
        <v>6.7342481916137089</v>
      </c>
      <c r="AV22" s="85">
        <f t="shared" si="62"/>
        <v>0.11365819732681366</v>
      </c>
      <c r="AW22" s="85">
        <f t="shared" si="63"/>
        <v>7.4067258591306899</v>
      </c>
      <c r="AX22" s="85">
        <f t="shared" si="64"/>
        <v>7.7382289346672311</v>
      </c>
      <c r="AY22" s="85">
        <f t="shared" si="65"/>
        <v>2.0742621012143494</v>
      </c>
      <c r="AZ22" s="85">
        <f t="shared" si="66"/>
        <v>0.4641043057511558</v>
      </c>
      <c r="BA22" s="85">
        <f t="shared" si="67"/>
        <v>0</v>
      </c>
      <c r="BB22" s="85">
        <f t="shared" si="104"/>
        <v>94.648863823904065</v>
      </c>
      <c r="BC22" s="85">
        <f t="shared" si="68"/>
        <v>3.6662472510092603</v>
      </c>
      <c r="BD22" s="85">
        <f t="shared" si="69"/>
        <v>3.4313227402540161</v>
      </c>
      <c r="BE22" s="85">
        <f t="shared" si="70"/>
        <v>100</v>
      </c>
      <c r="BF22" s="84">
        <f t="shared" si="71"/>
        <v>60.988742889651085</v>
      </c>
      <c r="BG22" s="85">
        <f t="shared" si="72"/>
        <v>0.17943729519675053</v>
      </c>
      <c r="BH22" s="85">
        <f t="shared" si="73"/>
        <v>12.630391834126828</v>
      </c>
      <c r="BI22" s="85">
        <f t="shared" si="74"/>
        <v>3.8587126766404931</v>
      </c>
      <c r="BJ22" s="85">
        <f t="shared" si="75"/>
        <v>3.6114554335684992</v>
      </c>
      <c r="BK22" s="85">
        <f t="shared" si="76"/>
        <v>0.11962486346450035</v>
      </c>
      <c r="BL22" s="85">
        <f t="shared" si="77"/>
        <v>7.7955536024366063</v>
      </c>
      <c r="BM22" s="85">
        <f t="shared" si="78"/>
        <v>8.1444594542080662</v>
      </c>
      <c r="BN22" s="85">
        <f t="shared" si="79"/>
        <v>2.1831537582271312</v>
      </c>
      <c r="BO22" s="85">
        <f t="shared" si="80"/>
        <v>0.48846819248004314</v>
      </c>
      <c r="BP22" s="85">
        <f t="shared" si="81"/>
        <v>0</v>
      </c>
      <c r="BQ22" s="85">
        <f>SUM(BF22:BP22)</f>
        <v>100</v>
      </c>
      <c r="BR22" s="85"/>
      <c r="BS22" s="82">
        <f>AR22/Weights!$B$5*2+AS22/Weights!$B$7*2+AT22/Weights!$B$8*3+'Data and calc.'!BC22/Weights!$B$20*3+'Data and calc.'!BD22/Weights!$B$10+'Data and calc.'!AV22/Weights!$B$11+'Data and calc.'!AW22/Weights!$B$13+'Data and calc.'!AX22/Weights!$B$14+'Data and calc.'!AY22/Weights!$B$15+AZ22/Weights!$B$16+B22/Weights!$B$19+'Data and calc.'!BA22/Weights!$B$6*5</f>
        <v>3.0415192723957767</v>
      </c>
      <c r="BT22" s="84">
        <f>AR22/Weights!$B$5*8/'Data and calc.'!$BS22</f>
        <v>2.5367448963034978</v>
      </c>
      <c r="BU22" s="85">
        <f>AS22/Weights!$B$7*8/'Data and calc.'!$BS22</f>
        <v>5.6148084005907878E-3</v>
      </c>
      <c r="BV22" s="85">
        <f>AT22/Weights!$B$8*8/'Data and calc.'!$BS22*2</f>
        <v>0.61914930202534424</v>
      </c>
      <c r="BW22" s="85">
        <f>BC22/Weights!$B$20*8/'Data and calc.'!$BS22*2</f>
        <v>0.1207762659420689</v>
      </c>
      <c r="BX22" s="85">
        <f>BD22/Weights!$B$10*8/'Data and calc.'!$BS22</f>
        <v>0.1256233812416008</v>
      </c>
      <c r="BY22" s="85">
        <f>AV22/Weights!$B$11*8/'Data and calc.'!$BS22</f>
        <v>4.2143159401377859E-3</v>
      </c>
      <c r="BZ22" s="85">
        <f>AW22/Weights!$B$13*8/'Data and calc.'!$BS22</f>
        <v>0.4833675982231006</v>
      </c>
      <c r="CA22" s="85">
        <f>AX22/Weights!$B$14*8/'Data and calc.'!$BS22</f>
        <v>0.36295786920966877</v>
      </c>
      <c r="CB22" s="85">
        <f>AY22/Weights!$B$15*8/'Data and calc.'!$BS22*2</f>
        <v>0.17605635694347235</v>
      </c>
      <c r="CC22" s="85">
        <f>AZ22/Weights!$B$16*8/'Data and calc.'!$BS22*2</f>
        <v>2.5918770176981583E-2</v>
      </c>
      <c r="CD22" s="85">
        <f>BA22/Weights!$B$6*8/'Data and calc.'!$BS22*2</f>
        <v>0</v>
      </c>
      <c r="CE22" s="85">
        <f>B22/Weights!$B$19*8/'Data and calc.'!$BS22*2</f>
        <v>1.4564830209319333</v>
      </c>
      <c r="CF22" s="85">
        <f t="shared" si="83"/>
        <v>13.129141090686007</v>
      </c>
      <c r="CG22" s="85">
        <f t="shared" si="84"/>
        <v>0.87465246644370964</v>
      </c>
      <c r="CH22" s="85">
        <f t="shared" si="101"/>
        <v>0.32653468889243115</v>
      </c>
      <c r="CI22" s="85">
        <f>AR22/Weights!$B$5*2+AS22/Weights!$B$7*2+AT22/Weights!$B$8*3+'Data and calc.'!BC22/Weights!$B$20*3+'Data and calc.'!BD22/Weights!$B$10+'Data and calc.'!AV22/Weights!$B$11+'Data and calc.'!AW22/Weights!$B$13+'Data and calc.'!AX22/Weights!$B$14+'Data and calc.'!AY22/Weights!$B$15+AZ22/Weights!$B$16+'Data and calc.'!BA22/Weights!$B$6*5</f>
        <v>2.7646491987656705</v>
      </c>
      <c r="CJ22" s="84">
        <f>AR22/Weights!$B$5*8/'Data and calc.'!$CI22</f>
        <v>2.790791140772388</v>
      </c>
      <c r="CK22" s="85">
        <f>AS22/Weights!$B$7*8/'Data and calc.'!$CI22</f>
        <v>6.1771120794751029E-3</v>
      </c>
      <c r="CL22" s="85">
        <f>AT22/Weights!$B$8*8/'Data and calc.'!$CI22*2</f>
        <v>0.68115496730697245</v>
      </c>
      <c r="CM22" s="85">
        <f>BC22/Weights!$B$20*8/'Data and calc.'!$CI22*2</f>
        <v>0.13287159205399643</v>
      </c>
      <c r="CN22" s="85">
        <f>BD22/Weights!$B$10*8/'Data and calc.'!$CI22</f>
        <v>0.13820412921843409</v>
      </c>
      <c r="CO22" s="85">
        <f>AV22/Weights!$B$11*8/'Data and calc.'!$CI22</f>
        <v>4.6363651336367032E-3</v>
      </c>
      <c r="CP22" s="85">
        <f>AW22/Weights!$B$13*8/'Data and calc.'!$CI22</f>
        <v>0.53177519459018707</v>
      </c>
      <c r="CQ22" s="85">
        <f>AX22/Weights!$B$14*8/'Data and calc.'!$CI22</f>
        <v>0.3993068468729376</v>
      </c>
      <c r="CR22" s="85">
        <f>AY22/Weights!$B$15*8/'Data and calc.'!$CI22*2</f>
        <v>0.19368779334117173</v>
      </c>
      <c r="CS22" s="85">
        <f>AZ22/Weights!$B$16*8/'Data and calc.'!$CI22*2</f>
        <v>2.8514445538074994E-2</v>
      </c>
      <c r="CT22" s="85">
        <f>BA22/Weights!$B$6*8/'Data and calc.'!$CI22*2</f>
        <v>0</v>
      </c>
      <c r="CU22" s="85">
        <f t="shared" si="85"/>
        <v>7.9999999999999982</v>
      </c>
      <c r="CV22" s="85">
        <f t="shared" si="86"/>
        <v>14.443979248851328</v>
      </c>
      <c r="CW22" s="85">
        <f t="shared" si="87"/>
        <v>0.43091193204875766</v>
      </c>
      <c r="CX22" s="113"/>
      <c r="CY22" s="90">
        <f t="shared" si="88"/>
        <v>4.8442037730012814E-2</v>
      </c>
      <c r="CZ22" s="91">
        <f t="shared" si="89"/>
        <v>4.6203830051392174</v>
      </c>
      <c r="DA22" s="85">
        <f t="shared" si="90"/>
        <v>-0.3674313713071431</v>
      </c>
      <c r="DB22" s="85">
        <f t="shared" si="91"/>
        <v>0.3674313713071431</v>
      </c>
      <c r="DC22" s="85">
        <f t="shared" si="92"/>
        <v>0.13500581262064765</v>
      </c>
      <c r="DD22" s="117"/>
      <c r="DE22" s="97"/>
      <c r="DF22" s="91">
        <f t="shared" si="93"/>
        <v>4.6312385942173897</v>
      </c>
      <c r="DG22" s="85">
        <f t="shared" si="94"/>
        <v>-0.35657578222897079</v>
      </c>
      <c r="DH22" s="85">
        <f t="shared" si="95"/>
        <v>0.35657578222897079</v>
      </c>
      <c r="DI22" s="85">
        <f t="shared" si="105"/>
        <v>0.12714628847220241</v>
      </c>
      <c r="DK22" s="117"/>
      <c r="DL22" s="99">
        <f>'Eq. 3 coef.'!$B$15+'Eq. 3 coef.'!$B$16*'Data and calc.'!G22^2+'Eq. 3 coef.'!$B$17*'Data and calc.'!G22+'Eq. 3 coef.'!$B$18*'Data and calc.'!BF22+'Eq. 3 coef.'!$B$19*'Data and calc.'!BG22+'Eq. 3 coef.'!$B$20*'Data and calc.'!BH22+'Eq. 3 coef.'!$B$21*'Data and calc.'!BI22+'Eq. 3 coef.'!$B$22*'Data and calc.'!BJ22+'Eq. 3 coef.'!$B$23*'Data and calc.'!BK22+'Eq. 3 coef.'!$B$24*'Data and calc.'!BL22+'Eq. 3 coef.'!$B$25*'Data and calc.'!BM22+'Eq. 3 coef.'!$B$26*'Data and calc.'!BN22+'Eq. 3 coef.'!$B$27*'Data and calc.'!BO22+'Eq. 3 coef.'!$B$28*'Data and calc.'!BP22</f>
        <v>4.6646806275093695</v>
      </c>
      <c r="DM22" s="85">
        <f t="shared" si="96"/>
        <v>-0.32313374893699098</v>
      </c>
      <c r="DN22" s="85">
        <f t="shared" si="97"/>
        <v>0.32313374893699098</v>
      </c>
      <c r="DO22" s="85">
        <f t="shared" si="33"/>
        <v>0.10441541970207432</v>
      </c>
      <c r="DP22" s="117"/>
      <c r="DQ22" s="99">
        <f>'Eq. 4 coef.'!$B$15+'Eq. 4 coef.'!$B$16*'Data and calc.'!G22^2+'Eq. 4 coef.'!$B$17*'Data and calc.'!G22+'Eq. 4 coef.'!$B$18*'Data and calc.'!O22+'Eq. 4 coef.'!$B$19*'Data and calc.'!P22+'Eq. 4 coef.'!$B$20*'Data and calc.'!Q22+'Eq. 4 coef.'!$B$21*'Data and calc.'!R22+'Eq. 4 coef.'!$B$22*'Data and calc.'!S22+'Eq. 4 coef.'!$B$23*'Data and calc.'!T22+'Eq. 4 coef.'!$B$24*'Data and calc.'!U22+'Eq. 4 coef.'!$B$25*'Data and calc.'!V22+'Eq. 4 coef.'!$B$26*'Data and calc.'!W22+'Eq. 4 coef.'!$B$27*'Data and calc.'!X22</f>
        <v>4.6027754246783843</v>
      </c>
      <c r="DR22" s="85">
        <f t="shared" si="98"/>
        <v>-0.3850389517679762</v>
      </c>
      <c r="DS22" s="85">
        <f t="shared" si="99"/>
        <v>0.3850389517679762</v>
      </c>
      <c r="DT22" s="85">
        <f t="shared" si="100"/>
        <v>0.14825499437858192</v>
      </c>
    </row>
    <row r="23" spans="1:124" ht="15" x14ac:dyDescent="0.2">
      <c r="A23" s="66" t="s">
        <v>174</v>
      </c>
      <c r="B23" s="73">
        <v>0.47</v>
      </c>
      <c r="C23" s="73">
        <v>0.1</v>
      </c>
      <c r="D23" s="126">
        <f t="shared" si="40"/>
        <v>21.276595744680851</v>
      </c>
      <c r="E23" s="72">
        <f t="shared" si="41"/>
        <v>4.7221943132723801E-3</v>
      </c>
      <c r="F23" s="64">
        <f t="shared" si="42"/>
        <v>0.46090633988591651</v>
      </c>
      <c r="G23" s="73">
        <v>0.67890083214407426</v>
      </c>
      <c r="H23" s="73">
        <v>6.3908159868886649E-2</v>
      </c>
      <c r="I23" s="126">
        <f>H23*100/G23</f>
        <v>9.4134749646800042</v>
      </c>
      <c r="J23" s="70">
        <v>1220</v>
      </c>
      <c r="K23" s="70">
        <v>200</v>
      </c>
      <c r="L23" s="73">
        <v>2.4475801659323747E-2</v>
      </c>
      <c r="M23" s="70">
        <v>2.2999999999999998</v>
      </c>
      <c r="N23" s="64">
        <f t="shared" si="43"/>
        <v>-0.92252614956903622</v>
      </c>
      <c r="O23" s="76">
        <v>61.837127507034637</v>
      </c>
      <c r="P23" s="73">
        <v>0.22485976838215474</v>
      </c>
      <c r="Q23" s="73">
        <v>14.56773147613252</v>
      </c>
      <c r="R23" s="73">
        <v>6.4678978799176239</v>
      </c>
      <c r="S23" s="73">
        <v>0.11822339077864175</v>
      </c>
      <c r="T23" s="73">
        <v>6.3192340782415748</v>
      </c>
      <c r="U23" s="73">
        <v>6.8751605156722917</v>
      </c>
      <c r="V23" s="73">
        <v>2.572056999357994</v>
      </c>
      <c r="W23" s="73">
        <v>0.99043619909093072</v>
      </c>
      <c r="X23" s="73">
        <v>2.7272185391634968E-2</v>
      </c>
      <c r="Y23" s="73">
        <f t="shared" si="103"/>
        <v>100.00000000000001</v>
      </c>
      <c r="Z23" s="73">
        <v>3.5624931984489248</v>
      </c>
      <c r="AA23" s="73">
        <v>0.22726368292742399</v>
      </c>
      <c r="AB23" s="59">
        <f t="shared" si="44"/>
        <v>1.220110383649631</v>
      </c>
      <c r="AC23" s="60">
        <f t="shared" si="45"/>
        <v>5.3686993360891275</v>
      </c>
      <c r="AD23" s="57">
        <f t="shared" si="46"/>
        <v>100.12091183982112</v>
      </c>
      <c r="AE23" s="57"/>
      <c r="AF23" s="57">
        <f t="shared" si="47"/>
        <v>61.546493007751579</v>
      </c>
      <c r="AG23" s="57">
        <f t="shared" si="48"/>
        <v>0.22380292747075864</v>
      </c>
      <c r="AH23" s="57">
        <f t="shared" si="49"/>
        <v>14.499263138194697</v>
      </c>
      <c r="AI23" s="57">
        <f t="shared" si="50"/>
        <v>6.4374987598820113</v>
      </c>
      <c r="AJ23" s="57">
        <f t="shared" si="51"/>
        <v>0.11766774084198213</v>
      </c>
      <c r="AK23" s="57">
        <f t="shared" si="52"/>
        <v>6.2895336780738402</v>
      </c>
      <c r="AL23" s="57">
        <f t="shared" si="53"/>
        <v>6.8428472612486324</v>
      </c>
      <c r="AM23" s="57">
        <f t="shared" si="54"/>
        <v>2.5599683314610115</v>
      </c>
      <c r="AN23" s="57">
        <f t="shared" si="55"/>
        <v>0.9857811489552033</v>
      </c>
      <c r="AO23" s="57">
        <f t="shared" si="56"/>
        <v>2.7144006120294283E-2</v>
      </c>
      <c r="AP23" s="57">
        <f t="shared" si="57"/>
        <v>99.53</v>
      </c>
      <c r="AQ23" s="57"/>
      <c r="AR23" s="84">
        <f t="shared" si="58"/>
        <v>61.472165881006966</v>
      </c>
      <c r="AS23" s="85">
        <f t="shared" si="59"/>
        <v>0.22353265003100525</v>
      </c>
      <c r="AT23" s="85">
        <f t="shared" si="60"/>
        <v>14.481752984223123</v>
      </c>
      <c r="AU23" s="85">
        <f t="shared" si="61"/>
        <v>6.4297244617398928</v>
      </c>
      <c r="AV23" s="85">
        <f t="shared" si="62"/>
        <v>0.11752563843029454</v>
      </c>
      <c r="AW23" s="85">
        <f t="shared" si="63"/>
        <v>6.2819380711755581</v>
      </c>
      <c r="AX23" s="85">
        <f t="shared" si="64"/>
        <v>6.834583440666413</v>
      </c>
      <c r="AY23" s="85">
        <f t="shared" si="65"/>
        <v>2.5568767647228263</v>
      </c>
      <c r="AZ23" s="85">
        <f t="shared" si="66"/>
        <v>0.98459066227074477</v>
      </c>
      <c r="BA23" s="85">
        <f t="shared" si="67"/>
        <v>2.7111225438818158E-2</v>
      </c>
      <c r="BB23" s="85">
        <f t="shared" si="104"/>
        <v>99.409801779705646</v>
      </c>
      <c r="BC23" s="85">
        <f t="shared" si="68"/>
        <v>1.212909313879704</v>
      </c>
      <c r="BD23" s="85">
        <f t="shared" si="69"/>
        <v>5.3370133681545742</v>
      </c>
      <c r="BE23" s="85">
        <f t="shared" si="70"/>
        <v>100.00000000000003</v>
      </c>
      <c r="BF23" s="84">
        <f t="shared" si="71"/>
        <v>61.762449393154796</v>
      </c>
      <c r="BG23" s="85">
        <f t="shared" si="72"/>
        <v>0.22458821463981235</v>
      </c>
      <c r="BH23" s="85">
        <f t="shared" si="73"/>
        <v>14.550138635811438</v>
      </c>
      <c r="BI23" s="85">
        <f t="shared" si="74"/>
        <v>1.2186369073442218</v>
      </c>
      <c r="BJ23" s="85">
        <f t="shared" si="75"/>
        <v>5.3622157823315328</v>
      </c>
      <c r="BK23" s="85">
        <f t="shared" si="76"/>
        <v>0.11808061733175379</v>
      </c>
      <c r="BL23" s="85">
        <f t="shared" si="77"/>
        <v>6.3116026034115924</v>
      </c>
      <c r="BM23" s="85">
        <f t="shared" si="78"/>
        <v>6.8668576717235137</v>
      </c>
      <c r="BN23" s="85">
        <f t="shared" si="79"/>
        <v>2.568950833640939</v>
      </c>
      <c r="BO23" s="85">
        <f t="shared" si="80"/>
        <v>0.98924009069702068</v>
      </c>
      <c r="BP23" s="85">
        <f t="shared" si="81"/>
        <v>2.7239249913411187E-2</v>
      </c>
      <c r="BQ23" s="85">
        <f t="shared" si="82"/>
        <v>100.00000000000001</v>
      </c>
      <c r="BR23" s="85"/>
      <c r="BS23" s="82">
        <f>AR23/Weights!$B$5*2+AS23/Weights!$B$7*2+AT23/Weights!$B$8*3+'Data and calc.'!BC23/Weights!$B$20*3+'Data and calc.'!BD23/Weights!$B$10+'Data and calc.'!AV23/Weights!$B$11+'Data and calc.'!AW23/Weights!$B$13+'Data and calc.'!AX23/Weights!$B$14+'Data and calc.'!AY23/Weights!$B$15+AZ23/Weights!$B$16+B23/Weights!$B$19+'Data and calc.'!BA23/Weights!$B$6*5</f>
        <v>2.9331631934783853</v>
      </c>
      <c r="BT23" s="84">
        <f>AR23/Weights!$B$5*8/'Data and calc.'!$BS23</f>
        <v>2.7904912572510141</v>
      </c>
      <c r="BU23" s="85">
        <f>AS23/Weights!$B$7*8/'Data and calc.'!$BS23</f>
        <v>7.6337552406190229E-3</v>
      </c>
      <c r="BV23" s="85">
        <f>AT23/Weights!$B$8*8/'Data and calc.'!$BS23*2</f>
        <v>0.77477346212049136</v>
      </c>
      <c r="BW23" s="85">
        <f>BC23/Weights!$B$20*8/'Data and calc.'!$BS23*2</f>
        <v>4.1432632225335803E-2</v>
      </c>
      <c r="BX23" s="85">
        <f>BD23/Weights!$B$10*8/'Data and calc.'!$BS23</f>
        <v>0.20261031267563517</v>
      </c>
      <c r="BY23" s="85">
        <f>AV23/Weights!$B$11*8/'Data and calc.'!$BS23</f>
        <v>4.5186977435433054E-3</v>
      </c>
      <c r="BZ23" s="85">
        <f>AW23/Weights!$B$13*8/'Data and calc.'!$BS23</f>
        <v>0.42510798332798899</v>
      </c>
      <c r="CA23" s="85">
        <f>AX23/Weights!$B$14*8/'Data and calc.'!$BS23</f>
        <v>0.3324153259088129</v>
      </c>
      <c r="CB23" s="85">
        <f>AY23/Weights!$B$15*8/'Data and calc.'!$BS23*2</f>
        <v>0.22503611475302027</v>
      </c>
      <c r="CC23" s="85">
        <f>AZ23/Weights!$B$16*8/'Data and calc.'!$BS23*2</f>
        <v>5.7017589358397978E-2</v>
      </c>
      <c r="CD23" s="85">
        <f>BA23/Weights!$B$6*8/'Data and calc.'!$BS23*2</f>
        <v>1.0418829341118556E-3</v>
      </c>
      <c r="CE23" s="85">
        <f>B23/Weights!$B$19*8/'Data and calc.'!$BS23*2</f>
        <v>0.14231390890204632</v>
      </c>
      <c r="CF23" s="85">
        <f t="shared" si="83"/>
        <v>14.457324427349842</v>
      </c>
      <c r="CG23" s="85">
        <f t="shared" si="84"/>
        <v>0.42682187299657737</v>
      </c>
      <c r="CH23" s="85">
        <f t="shared" si="101"/>
        <v>2.9270176092523022E-2</v>
      </c>
      <c r="CI23" s="85">
        <f>AR23/Weights!$B$5*2+AS23/Weights!$B$7*2+AT23/Weights!$B$8*3+'Data and calc.'!BC23/Weights!$B$20*3+'Data and calc.'!BD23/Weights!$B$10+'Data and calc.'!AV23/Weights!$B$11+'Data and calc.'!AW23/Weights!$B$13+'Data and calc.'!AX23/Weights!$B$14+'Data and calc.'!AY23/Weights!$B$15+AZ23/Weights!$B$16+'Data and calc.'!BA23/Weights!$B$6*5</f>
        <v>2.9070738235089153</v>
      </c>
      <c r="CJ23" s="84">
        <f>AR23/Weights!$B$5*8/'Data and calc.'!$CI23</f>
        <v>2.8155343635588954</v>
      </c>
      <c r="CK23" s="85">
        <f>AS23/Weights!$B$7*8/'Data and calc.'!$CI23</f>
        <v>7.7022639462178705E-3</v>
      </c>
      <c r="CL23" s="85">
        <f>AT23/Weights!$B$8*8/'Data and calc.'!$CI23*2</f>
        <v>0.7817266228322447</v>
      </c>
      <c r="CM23" s="85">
        <f>BC23/Weights!$B$20*8/'Data and calc.'!$CI23*2</f>
        <v>4.1804467045007163E-2</v>
      </c>
      <c r="CN23" s="85">
        <f>BD23/Weights!$B$10*8/'Data and calc.'!$CI23</f>
        <v>0.20442862749250634</v>
      </c>
      <c r="CO23" s="85">
        <f>AV23/Weights!$B$11*8/'Data and calc.'!$CI23</f>
        <v>4.5592505414317379E-3</v>
      </c>
      <c r="CP23" s="85">
        <f>AW23/Weights!$B$13*8/'Data and calc.'!$CI23</f>
        <v>0.4289230909335579</v>
      </c>
      <c r="CQ23" s="85">
        <f>AX23/Weights!$B$14*8/'Data and calc.'!$CI23</f>
        <v>0.33539856849144845</v>
      </c>
      <c r="CR23" s="85">
        <f>AY23/Weights!$B$15*8/'Data and calc.'!$CI23*2</f>
        <v>0.22705568866504328</v>
      </c>
      <c r="CS23" s="85">
        <f>AZ23/Weights!$B$16*8/'Data and calc.'!$CI23*2</f>
        <v>5.752929049632885E-2</v>
      </c>
      <c r="CT23" s="85">
        <f>BA23/Weights!$B$6*8/'Data and calc.'!$CI23*2</f>
        <v>1.0512332537057733E-3</v>
      </c>
      <c r="CU23" s="85">
        <f t="shared" si="85"/>
        <v>7.9999999999999982</v>
      </c>
      <c r="CV23" s="85">
        <f t="shared" si="86"/>
        <v>14.587070869529461</v>
      </c>
      <c r="CW23" s="85">
        <f t="shared" si="87"/>
        <v>0.38744697769912639</v>
      </c>
      <c r="CX23" s="113"/>
      <c r="CY23" s="90">
        <f t="shared" si="88"/>
        <v>2.1753361647604791E-3</v>
      </c>
      <c r="CZ23" s="91">
        <f t="shared" si="89"/>
        <v>0.21706143488676391</v>
      </c>
      <c r="DA23" s="85">
        <f t="shared" si="90"/>
        <v>-0.25293856511323609</v>
      </c>
      <c r="DB23" s="85">
        <f t="shared" si="91"/>
        <v>0.25293856511323609</v>
      </c>
      <c r="DC23" s="85">
        <f t="shared" si="92"/>
        <v>6.3977917721542779E-2</v>
      </c>
      <c r="DD23" s="117"/>
      <c r="DE23" s="97"/>
      <c r="DF23" s="91">
        <f t="shared" si="93"/>
        <v>0.201066901689192</v>
      </c>
      <c r="DG23" s="85">
        <f t="shared" si="94"/>
        <v>-0.26893309831080797</v>
      </c>
      <c r="DH23" s="85">
        <f t="shared" si="95"/>
        <v>0.26893309831080797</v>
      </c>
      <c r="DI23" s="85">
        <f t="shared" si="105"/>
        <v>7.2325011367050704E-2</v>
      </c>
      <c r="DK23" s="117"/>
      <c r="DL23" s="99">
        <f>'Eq. 3 coef.'!$B$15+'Eq. 3 coef.'!$B$16*'Data and calc.'!G23^2+'Eq. 3 coef.'!$B$17*'Data and calc.'!G23+'Eq. 3 coef.'!$B$18*'Data and calc.'!BF23+'Eq. 3 coef.'!$B$19*'Data and calc.'!BG23+'Eq. 3 coef.'!$B$20*'Data and calc.'!BH23+'Eq. 3 coef.'!$B$21*'Data and calc.'!BI23+'Eq. 3 coef.'!$B$22*'Data and calc.'!BJ23+'Eq. 3 coef.'!$B$23*'Data and calc.'!BK23+'Eq. 3 coef.'!$B$24*'Data and calc.'!BL23+'Eq. 3 coef.'!$B$25*'Data and calc.'!BM23+'Eq. 3 coef.'!$B$26*'Data and calc.'!BN23+'Eq. 3 coef.'!$B$27*'Data and calc.'!BO23+'Eq. 3 coef.'!$B$28*'Data and calc.'!BP23</f>
        <v>0.26951614567491333</v>
      </c>
      <c r="DM23" s="85">
        <f t="shared" si="96"/>
        <v>-0.20048385432508664</v>
      </c>
      <c r="DN23" s="85">
        <f t="shared" si="97"/>
        <v>0.20048385432508664</v>
      </c>
      <c r="DO23" s="85">
        <f t="shared" si="33"/>
        <v>4.0193775845042565E-2</v>
      </c>
      <c r="DP23" s="117"/>
      <c r="DQ23" s="99">
        <f>'Eq. 4 coef.'!$B$15+'Eq. 4 coef.'!$B$16*'Data and calc.'!G23^2+'Eq. 4 coef.'!$B$17*'Data and calc.'!G23+'Eq. 4 coef.'!$B$18*'Data and calc.'!O23+'Eq. 4 coef.'!$B$19*'Data and calc.'!P23+'Eq. 4 coef.'!$B$20*'Data and calc.'!Q23+'Eq. 4 coef.'!$B$21*'Data and calc.'!R23+'Eq. 4 coef.'!$B$22*'Data and calc.'!S23+'Eq. 4 coef.'!$B$23*'Data and calc.'!T23+'Eq. 4 coef.'!$B$24*'Data and calc.'!U23+'Eq. 4 coef.'!$B$25*'Data and calc.'!V23+'Eq. 4 coef.'!$B$26*'Data and calc.'!W23+'Eq. 4 coef.'!$B$27*'Data and calc.'!X23</f>
        <v>0.29634246830781308</v>
      </c>
      <c r="DR23" s="85">
        <f t="shared" si="98"/>
        <v>-0.1736575316921869</v>
      </c>
      <c r="DS23" s="85">
        <f t="shared" si="99"/>
        <v>0.1736575316921869</v>
      </c>
      <c r="DT23" s="85">
        <f t="shared" si="100"/>
        <v>3.0156938313422896E-2</v>
      </c>
    </row>
    <row r="24" spans="1:124" ht="15" x14ac:dyDescent="0.2">
      <c r="A24" s="66" t="s">
        <v>175</v>
      </c>
      <c r="B24" s="73">
        <v>0.17</v>
      </c>
      <c r="C24" s="73">
        <v>7.0000000000000007E-2</v>
      </c>
      <c r="D24" s="126">
        <f t="shared" si="40"/>
        <v>41.176470588235297</v>
      </c>
      <c r="E24" s="72">
        <f t="shared" si="41"/>
        <v>1.7028949213663228E-3</v>
      </c>
      <c r="F24" s="64">
        <f t="shared" si="42"/>
        <v>0.96830890244338674</v>
      </c>
      <c r="G24" s="73">
        <v>0.98402688095569157</v>
      </c>
      <c r="H24" s="73">
        <v>5.6791376030258724E-2</v>
      </c>
      <c r="I24" s="126">
        <f t="shared" ref="I24:I90" si="106">H24*100/G24</f>
        <v>5.7713236426125549</v>
      </c>
      <c r="J24" s="70">
        <v>1220</v>
      </c>
      <c r="K24" s="70">
        <v>200</v>
      </c>
      <c r="L24" s="73">
        <v>3.4862336642930104E-3</v>
      </c>
      <c r="M24" s="70">
        <v>2.2999999999999998</v>
      </c>
      <c r="N24" s="64">
        <f t="shared" si="43"/>
        <v>-2.6152870154548138</v>
      </c>
      <c r="O24" s="76">
        <v>61.837127507034637</v>
      </c>
      <c r="P24" s="73">
        <v>0.22485976838215474</v>
      </c>
      <c r="Q24" s="73">
        <v>14.56773147613252</v>
      </c>
      <c r="R24" s="73">
        <v>6.4678978799176239</v>
      </c>
      <c r="S24" s="73">
        <v>0.11822339077864175</v>
      </c>
      <c r="T24" s="73">
        <v>6.3192340782415748</v>
      </c>
      <c r="U24" s="73">
        <v>6.8751605156722917</v>
      </c>
      <c r="V24" s="73">
        <v>2.572056999357994</v>
      </c>
      <c r="W24" s="73">
        <v>0.99043619909093072</v>
      </c>
      <c r="X24" s="73">
        <v>2.7272185391634968E-2</v>
      </c>
      <c r="Y24" s="73">
        <f t="shared" ref="Y24:Y31" si="107">SUM(O24:X24)</f>
        <v>100.00000000000001</v>
      </c>
      <c r="Z24" s="73">
        <v>3.5624931984489248</v>
      </c>
      <c r="AA24" s="73">
        <v>8.6491554754705727E-2</v>
      </c>
      <c r="AB24" s="59">
        <f t="shared" si="44"/>
        <v>0.5189794954760083</v>
      </c>
      <c r="AC24" s="60">
        <f t="shared" si="45"/>
        <v>6.000348784894193</v>
      </c>
      <c r="AD24" s="57">
        <f t="shared" si="46"/>
        <v>100.05143040045257</v>
      </c>
      <c r="AE24" s="57"/>
      <c r="AF24" s="57">
        <f t="shared" si="47"/>
        <v>61.732004390272678</v>
      </c>
      <c r="AG24" s="57">
        <f t="shared" si="48"/>
        <v>0.22447750677590506</v>
      </c>
      <c r="AH24" s="57">
        <f t="shared" si="49"/>
        <v>14.542966332623095</v>
      </c>
      <c r="AI24" s="57">
        <f t="shared" si="50"/>
        <v>6.4569024535217636</v>
      </c>
      <c r="AJ24" s="57">
        <f t="shared" si="51"/>
        <v>0.11802241101431805</v>
      </c>
      <c r="AK24" s="57">
        <f t="shared" si="52"/>
        <v>6.3084913803085634</v>
      </c>
      <c r="AL24" s="57">
        <f t="shared" si="53"/>
        <v>6.8634727427956488</v>
      </c>
      <c r="AM24" s="57">
        <f t="shared" si="54"/>
        <v>2.5676845024590853</v>
      </c>
      <c r="AN24" s="57">
        <f t="shared" si="55"/>
        <v>0.9887524575524762</v>
      </c>
      <c r="AO24" s="57">
        <f t="shared" si="56"/>
        <v>2.722582267646919E-2</v>
      </c>
      <c r="AP24" s="57">
        <f t="shared" si="57"/>
        <v>99.830000000000027</v>
      </c>
      <c r="AQ24" s="57"/>
      <c r="AR24" s="84">
        <f t="shared" si="58"/>
        <v>61.700271693460408</v>
      </c>
      <c r="AS24" s="85">
        <f t="shared" si="59"/>
        <v>0.22436211644095561</v>
      </c>
      <c r="AT24" s="85">
        <f t="shared" si="60"/>
        <v>14.535490671562965</v>
      </c>
      <c r="AU24" s="85">
        <f t="shared" si="61"/>
        <v>6.4535833497614403</v>
      </c>
      <c r="AV24" s="85">
        <f t="shared" si="62"/>
        <v>0.11796174281760613</v>
      </c>
      <c r="AW24" s="85">
        <f t="shared" si="63"/>
        <v>6.3052485657216826</v>
      </c>
      <c r="AX24" s="85">
        <f t="shared" si="64"/>
        <v>6.8599446457934921</v>
      </c>
      <c r="AY24" s="85">
        <f t="shared" si="65"/>
        <v>2.5663646108626454</v>
      </c>
      <c r="AZ24" s="85">
        <f t="shared" si="66"/>
        <v>0.98824419960317089</v>
      </c>
      <c r="BA24" s="85">
        <f t="shared" si="67"/>
        <v>2.721182752460282E-2</v>
      </c>
      <c r="BB24" s="85">
        <f t="shared" ref="BB24:BB31" si="108">SUM(AR24:BA24)</f>
        <v>99.778683423548983</v>
      </c>
      <c r="BC24" s="85">
        <f t="shared" si="68"/>
        <v>0.51783090782413788</v>
      </c>
      <c r="BD24" s="85">
        <f t="shared" si="69"/>
        <v>5.9870690183883433</v>
      </c>
      <c r="BE24" s="85">
        <f t="shared" si="70"/>
        <v>100.00000000000001</v>
      </c>
      <c r="BF24" s="84">
        <f t="shared" si="71"/>
        <v>61.805340772774123</v>
      </c>
      <c r="BG24" s="85">
        <f t="shared" si="72"/>
        <v>0.22474418154958992</v>
      </c>
      <c r="BH24" s="85">
        <f t="shared" si="73"/>
        <v>14.560243084807135</v>
      </c>
      <c r="BI24" s="85">
        <f t="shared" si="74"/>
        <v>0.5187127194471981</v>
      </c>
      <c r="BJ24" s="85">
        <f t="shared" si="75"/>
        <v>5.997264367813627</v>
      </c>
      <c r="BK24" s="85">
        <f t="shared" si="76"/>
        <v>0.11816261927036575</v>
      </c>
      <c r="BL24" s="85">
        <f t="shared" si="77"/>
        <v>6.3159857414822023</v>
      </c>
      <c r="BM24" s="85">
        <f t="shared" si="78"/>
        <v>6.8716264106916682</v>
      </c>
      <c r="BN24" s="85">
        <f t="shared" si="79"/>
        <v>2.5707348601248579</v>
      </c>
      <c r="BO24" s="85">
        <f t="shared" si="80"/>
        <v>0.98992707563174487</v>
      </c>
      <c r="BP24" s="85">
        <f t="shared" si="81"/>
        <v>2.7258166407495562E-2</v>
      </c>
      <c r="BQ24" s="85">
        <f t="shared" si="82"/>
        <v>100.00000000000001</v>
      </c>
      <c r="BR24" s="85"/>
      <c r="BS24" s="82">
        <f>AR24/Weights!$B$5*2+AS24/Weights!$B$7*2+AT24/Weights!$B$8*3+'Data and calc.'!BC24/Weights!$B$20*3+'Data and calc.'!BD24/Weights!$B$10+'Data and calc.'!AV24/Weights!$B$11+'Data and calc.'!AW24/Weights!$B$13+'Data and calc.'!AX24/Weights!$B$14+'Data and calc.'!AY24/Weights!$B$15+AZ24/Weights!$B$16+B24/Weights!$B$19+'Data and calc.'!BA24/Weights!$B$6*5</f>
        <v>2.9229274125908864</v>
      </c>
      <c r="BT24" s="84">
        <f>AR24/Weights!$B$5*8/'Data and calc.'!$BS24</f>
        <v>2.8106542453640548</v>
      </c>
      <c r="BU24" s="85">
        <f>AS24/Weights!$B$7*8/'Data and calc.'!$BS24</f>
        <v>7.6889137421102946E-3</v>
      </c>
      <c r="BV24" s="85">
        <f>AT24/Weights!$B$8*8/'Data and calc.'!$BS24*2</f>
        <v>0.78037166927001844</v>
      </c>
      <c r="BW24" s="85">
        <f>BC24/Weights!$B$20*8/'Data and calc.'!$BS24*2</f>
        <v>1.7750899248515192E-2</v>
      </c>
      <c r="BX24" s="85">
        <f>BD24/Weights!$B$10*8/'Data and calc.'!$BS24</f>
        <v>0.22808447077964147</v>
      </c>
      <c r="BY24" s="85">
        <f>AV24/Weights!$B$11*8/'Data and calc.'!$BS24</f>
        <v>4.5513480694143295E-3</v>
      </c>
      <c r="BZ24" s="85">
        <f>AW24/Weights!$B$13*8/'Data and calc.'!$BS24</f>
        <v>0.42817964577893852</v>
      </c>
      <c r="CA24" s="85">
        <f>AX24/Weights!$B$14*8/'Data and calc.'!$BS24</f>
        <v>0.33481722781317319</v>
      </c>
      <c r="CB24" s="85">
        <f>AY24/Weights!$B$15*8/'Data and calc.'!$BS24*2</f>
        <v>0.22666213687187828</v>
      </c>
      <c r="CC24" s="85">
        <f>AZ24/Weights!$B$16*8/'Data and calc.'!$BS24*2</f>
        <v>5.7429575948028153E-2</v>
      </c>
      <c r="CD24" s="85">
        <f>BA24/Weights!$B$6*8/'Data and calc.'!$BS24*2</f>
        <v>1.0494111688486927E-3</v>
      </c>
      <c r="CE24" s="85">
        <f>B24/Weights!$B$19*8/'Data and calc.'!$BS24*2</f>
        <v>5.1655504473252553E-2</v>
      </c>
      <c r="CF24" s="85">
        <f t="shared" si="83"/>
        <v>14.465862910498796</v>
      </c>
      <c r="CG24" s="85">
        <f t="shared" si="84"/>
        <v>0.4242089390706954</v>
      </c>
      <c r="CH24" s="85">
        <f t="shared" si="101"/>
        <v>1.0547881925842021E-2</v>
      </c>
      <c r="CI24" s="85">
        <f>AR24/Weights!$B$5*2+AS24/Weights!$B$7*2+AT24/Weights!$B$8*3+'Data and calc.'!BC24/Weights!$B$20*3+'Data and calc.'!BD24/Weights!$B$10+'Data and calc.'!AV24/Weights!$B$11+'Data and calc.'!AW24/Weights!$B$13+'Data and calc.'!AX24/Weights!$B$14+'Data and calc.'!AY24/Weights!$B$15+AZ24/Weights!$B$16+'Data and calc.'!BA24/Weights!$B$6*5</f>
        <v>2.9134908319636312</v>
      </c>
      <c r="CJ24" s="84">
        <f>AR24/Weights!$B$5*8/'Data and calc.'!$CI24</f>
        <v>2.8197577459176633</v>
      </c>
      <c r="CK24" s="85">
        <f>AS24/Weights!$B$7*8/'Data and calc.'!$CI24</f>
        <v>7.7138175632129446E-3</v>
      </c>
      <c r="CL24" s="85">
        <f>AT24/Weights!$B$8*8/'Data and calc.'!$CI24*2</f>
        <v>0.78289923520415561</v>
      </c>
      <c r="CM24" s="85">
        <f>BC24/Weights!$B$20*8/'Data and calc.'!$CI24*2</f>
        <v>1.7808393094086005E-2</v>
      </c>
      <c r="CN24" s="85">
        <f>BD24/Weights!$B$10*8/'Data and calc.'!$CI24</f>
        <v>0.22882321945690651</v>
      </c>
      <c r="CO24" s="85">
        <f>AV24/Weights!$B$11*8/'Data and calc.'!$CI24</f>
        <v>4.5660895481066735E-3</v>
      </c>
      <c r="CP24" s="85">
        <f>AW24/Weights!$B$13*8/'Data and calc.'!$CI24</f>
        <v>0.42956648788120771</v>
      </c>
      <c r="CQ24" s="85">
        <f>AX24/Weights!$B$14*8/'Data and calc.'!$CI24</f>
        <v>0.3359016759710291</v>
      </c>
      <c r="CR24" s="85">
        <f>AY24/Weights!$B$15*8/'Data and calc.'!$CI24*2</f>
        <v>0.2273962787151515</v>
      </c>
      <c r="CS24" s="85">
        <f>AZ24/Weights!$B$16*8/'Data and calc.'!$CI24*2</f>
        <v>5.7615586083319154E-2</v>
      </c>
      <c r="CT24" s="85">
        <f>BA24/Weights!$B$6*8/'Data and calc.'!$CI24*2</f>
        <v>1.0528101337595617E-3</v>
      </c>
      <c r="CU24" s="85">
        <f t="shared" si="85"/>
        <v>7.9999999999999973</v>
      </c>
      <c r="CV24" s="85">
        <f t="shared" si="86"/>
        <v>14.512716767116473</v>
      </c>
      <c r="CW24" s="85">
        <f t="shared" si="87"/>
        <v>0.40992551753052231</v>
      </c>
      <c r="CX24" s="113"/>
      <c r="CY24" s="90">
        <f t="shared" si="88"/>
        <v>4.8024714450285045E-3</v>
      </c>
      <c r="CZ24" s="91">
        <f t="shared" si="89"/>
        <v>0.47795179465691051</v>
      </c>
      <c r="DA24" s="85">
        <f t="shared" si="90"/>
        <v>0.30795179465691047</v>
      </c>
      <c r="DB24" s="85">
        <f t="shared" si="91"/>
        <v>0.30795179465691047</v>
      </c>
      <c r="DC24" s="85">
        <f t="shared" si="92"/>
        <v>9.4834307832411951E-2</v>
      </c>
      <c r="DD24" s="117"/>
      <c r="DE24" s="97"/>
      <c r="DF24" s="91">
        <f t="shared" si="93"/>
        <v>0.46593833983645511</v>
      </c>
      <c r="DG24" s="85">
        <f t="shared" si="94"/>
        <v>0.29593833983645512</v>
      </c>
      <c r="DH24" s="85">
        <f t="shared" si="95"/>
        <v>0.29593833983645512</v>
      </c>
      <c r="DI24" s="85">
        <f t="shared" ref="DI24:DI31" si="109">DG24^2</f>
        <v>8.7579500985157197E-2</v>
      </c>
      <c r="DK24" s="117"/>
      <c r="DL24" s="99">
        <f>'Eq. 3 coef.'!$B$15+'Eq. 3 coef.'!$B$16*'Data and calc.'!G24^2+'Eq. 3 coef.'!$B$17*'Data and calc.'!G24+'Eq. 3 coef.'!$B$18*'Data and calc.'!BF24+'Eq. 3 coef.'!$B$19*'Data and calc.'!BG24+'Eq. 3 coef.'!$B$20*'Data and calc.'!BH24+'Eq. 3 coef.'!$B$21*'Data and calc.'!BI24+'Eq. 3 coef.'!$B$22*'Data and calc.'!BJ24+'Eq. 3 coef.'!$B$23*'Data and calc.'!BK24+'Eq. 3 coef.'!$B$24*'Data and calc.'!BL24+'Eq. 3 coef.'!$B$25*'Data and calc.'!BM24+'Eq. 3 coef.'!$B$26*'Data and calc.'!BN24+'Eq. 3 coef.'!$B$27*'Data and calc.'!BO24+'Eq. 3 coef.'!$B$28*'Data and calc.'!BP24</f>
        <v>0.57083301140721687</v>
      </c>
      <c r="DM24" s="85">
        <f t="shared" si="96"/>
        <v>0.40083301140721683</v>
      </c>
      <c r="DN24" s="85">
        <f t="shared" si="97"/>
        <v>0.40083301140721683</v>
      </c>
      <c r="DO24" s="85">
        <f t="shared" si="33"/>
        <v>0.16066710303377801</v>
      </c>
      <c r="DP24" s="117"/>
      <c r="DQ24" s="99">
        <f>'Eq. 4 coef.'!$B$15+'Eq. 4 coef.'!$B$16*'Data and calc.'!G24^2+'Eq. 4 coef.'!$B$17*'Data and calc.'!G24+'Eq. 4 coef.'!$B$18*'Data and calc.'!O24+'Eq. 4 coef.'!$B$19*'Data and calc.'!P24+'Eq. 4 coef.'!$B$20*'Data and calc.'!Q24+'Eq. 4 coef.'!$B$21*'Data and calc.'!R24+'Eq. 4 coef.'!$B$22*'Data and calc.'!S24+'Eq. 4 coef.'!$B$23*'Data and calc.'!T24+'Eq. 4 coef.'!$B$24*'Data and calc.'!U24+'Eq. 4 coef.'!$B$25*'Data and calc.'!V24+'Eq. 4 coef.'!$B$26*'Data and calc.'!W24+'Eq. 4 coef.'!$B$27*'Data and calc.'!X24</f>
        <v>0.55880627956892681</v>
      </c>
      <c r="DR24" s="85">
        <f t="shared" si="98"/>
        <v>0.38880627956892677</v>
      </c>
      <c r="DS24" s="85">
        <f t="shared" si="99"/>
        <v>0.38880627956892677</v>
      </c>
      <c r="DT24" s="85">
        <f t="shared" si="100"/>
        <v>0.15117032303223044</v>
      </c>
    </row>
    <row r="25" spans="1:124" ht="15" x14ac:dyDescent="0.2">
      <c r="A25" s="66" t="s">
        <v>176</v>
      </c>
      <c r="B25" s="73">
        <v>2.2599999999999998</v>
      </c>
      <c r="C25" s="73">
        <v>0.18</v>
      </c>
      <c r="D25" s="126">
        <f t="shared" si="40"/>
        <v>7.9646017699115053</v>
      </c>
      <c r="E25" s="72">
        <f t="shared" si="41"/>
        <v>2.3122570083896048E-2</v>
      </c>
      <c r="F25" s="64">
        <f t="shared" si="42"/>
        <v>7.8794298419235815</v>
      </c>
      <c r="G25" s="73">
        <v>2.8070322124841356</v>
      </c>
      <c r="H25" s="73">
        <v>8.1860974267706679E-2</v>
      </c>
      <c r="I25" s="126">
        <f t="shared" si="106"/>
        <v>2.9162819686797357</v>
      </c>
      <c r="J25" s="70">
        <v>1170</v>
      </c>
      <c r="K25" s="70">
        <v>200</v>
      </c>
      <c r="L25" s="73">
        <v>0.36803267838359432</v>
      </c>
      <c r="M25" s="70">
        <v>2.2999999999999998</v>
      </c>
      <c r="N25" s="64">
        <f t="shared" si="43"/>
        <v>1.431772764583902</v>
      </c>
      <c r="O25" s="76">
        <v>61.837127507034637</v>
      </c>
      <c r="P25" s="73">
        <v>0.22485976838215474</v>
      </c>
      <c r="Q25" s="73">
        <v>14.56773147613252</v>
      </c>
      <c r="R25" s="73">
        <v>6.4678978799176239</v>
      </c>
      <c r="S25" s="73">
        <v>0.11822339077864175</v>
      </c>
      <c r="T25" s="73">
        <v>6.3192340782415748</v>
      </c>
      <c r="U25" s="73">
        <v>6.8751605156722917</v>
      </c>
      <c r="V25" s="73">
        <v>2.572056999357994</v>
      </c>
      <c r="W25" s="73">
        <v>0.99043619909093072</v>
      </c>
      <c r="X25" s="73">
        <v>2.7272185391634968E-2</v>
      </c>
      <c r="Y25" s="73">
        <f t="shared" si="107"/>
        <v>100.00000000000001</v>
      </c>
      <c r="Z25" s="73">
        <v>3.5624931984489248</v>
      </c>
      <c r="AA25" s="73">
        <v>0.91947664521206374</v>
      </c>
      <c r="AB25" s="59">
        <f t="shared" si="44"/>
        <v>3.252690773572906</v>
      </c>
      <c r="AC25" s="60">
        <f t="shared" si="45"/>
        <v>3.5375458316537447</v>
      </c>
      <c r="AD25" s="57">
        <f t="shared" si="46"/>
        <v>100.32233872530902</v>
      </c>
      <c r="AE25" s="57"/>
      <c r="AF25" s="57">
        <f t="shared" si="47"/>
        <v>60.439608425375653</v>
      </c>
      <c r="AG25" s="57">
        <f t="shared" si="48"/>
        <v>0.21977793761671804</v>
      </c>
      <c r="AH25" s="57">
        <f t="shared" si="49"/>
        <v>14.238500744771924</v>
      </c>
      <c r="AI25" s="57">
        <f t="shared" si="50"/>
        <v>6.3217233878314856</v>
      </c>
      <c r="AJ25" s="57">
        <f t="shared" si="51"/>
        <v>0.11555154214704444</v>
      </c>
      <c r="AK25" s="57">
        <f t="shared" si="52"/>
        <v>6.1764193880733149</v>
      </c>
      <c r="AL25" s="57">
        <f t="shared" si="53"/>
        <v>6.7197818880180975</v>
      </c>
      <c r="AM25" s="57">
        <f t="shared" si="54"/>
        <v>2.5139285111725034</v>
      </c>
      <c r="AN25" s="57">
        <f t="shared" si="55"/>
        <v>0.96805234099147563</v>
      </c>
      <c r="AO25" s="57">
        <f t="shared" si="56"/>
        <v>2.6655834001784017E-2</v>
      </c>
      <c r="AP25" s="57">
        <f t="shared" si="57"/>
        <v>97.740000000000009</v>
      </c>
      <c r="AQ25" s="57"/>
      <c r="AR25" s="84">
        <f t="shared" si="58"/>
        <v>60.245414125426613</v>
      </c>
      <c r="AS25" s="85">
        <f t="shared" si="59"/>
        <v>0.21907178441930911</v>
      </c>
      <c r="AT25" s="85">
        <f t="shared" si="60"/>
        <v>14.192752008860294</v>
      </c>
      <c r="AU25" s="85">
        <f t="shared" si="61"/>
        <v>6.3014114983312881</v>
      </c>
      <c r="AV25" s="85">
        <f t="shared" si="62"/>
        <v>0.11518027152799364</v>
      </c>
      <c r="AW25" s="85">
        <f t="shared" si="63"/>
        <v>6.1565743647432996</v>
      </c>
      <c r="AX25" s="85">
        <f t="shared" si="64"/>
        <v>6.6981910244511189</v>
      </c>
      <c r="AY25" s="85">
        <f t="shared" si="65"/>
        <v>2.5058511824129721</v>
      </c>
      <c r="AZ25" s="85">
        <f t="shared" si="66"/>
        <v>0.96494195937963945</v>
      </c>
      <c r="BA25" s="85">
        <f t="shared" si="67"/>
        <v>2.6570187996483939E-2</v>
      </c>
      <c r="BB25" s="85">
        <f t="shared" si="108"/>
        <v>97.425958407549018</v>
      </c>
      <c r="BC25" s="85">
        <f t="shared" si="68"/>
        <v>3.1689651601873234</v>
      </c>
      <c r="BD25" s="85">
        <f t="shared" si="69"/>
        <v>3.4464879305949605</v>
      </c>
      <c r="BE25" s="85">
        <f t="shared" si="70"/>
        <v>100.00000000000001</v>
      </c>
      <c r="BF25" s="84">
        <f t="shared" si="71"/>
        <v>61.638442935775139</v>
      </c>
      <c r="BG25" s="85">
        <f t="shared" si="72"/>
        <v>0.22413728710794875</v>
      </c>
      <c r="BH25" s="85">
        <f t="shared" si="73"/>
        <v>14.520924911868523</v>
      </c>
      <c r="BI25" s="85">
        <f t="shared" si="74"/>
        <v>3.2422397791971802</v>
      </c>
      <c r="BJ25" s="85">
        <f t="shared" si="75"/>
        <v>3.5261795893134442</v>
      </c>
      <c r="BK25" s="85">
        <f t="shared" si="76"/>
        <v>0.11784353542868185</v>
      </c>
      <c r="BL25" s="85">
        <f t="shared" si="77"/>
        <v>6.2989301869687946</v>
      </c>
      <c r="BM25" s="85">
        <f t="shared" si="78"/>
        <v>6.8530704158493139</v>
      </c>
      <c r="BN25" s="85">
        <f t="shared" si="79"/>
        <v>2.5637929019981298</v>
      </c>
      <c r="BO25" s="85">
        <f t="shared" si="80"/>
        <v>0.98725389746228731</v>
      </c>
      <c r="BP25" s="85">
        <f t="shared" si="81"/>
        <v>2.7184559030574935E-2</v>
      </c>
      <c r="BQ25" s="85">
        <f t="shared" si="82"/>
        <v>100</v>
      </c>
      <c r="BR25" s="85"/>
      <c r="BS25" s="82">
        <f>AR25/Weights!$B$5*2+AS25/Weights!$B$7*2+AT25/Weights!$B$8*3+'Data and calc.'!BC25/Weights!$B$20*3+'Data and calc.'!BD25/Weights!$B$10+'Data and calc.'!AV25/Weights!$B$11+'Data and calc.'!AW25/Weights!$B$13+'Data and calc.'!AX25/Weights!$B$14+'Data and calc.'!AY25/Weights!$B$15+AZ25/Weights!$B$16+B25/Weights!$B$19+'Data and calc.'!BA25/Weights!$B$6*5</f>
        <v>2.9868814746073791</v>
      </c>
      <c r="BT25" s="84">
        <f>AR25/Weights!$B$5*8/'Data and calc.'!$BS25</f>
        <v>2.6856188870960347</v>
      </c>
      <c r="BU25" s="85">
        <f>AS25/Weights!$B$7*8/'Data and calc.'!$BS25</f>
        <v>7.3468631017576461E-3</v>
      </c>
      <c r="BV25" s="85">
        <f>AT25/Weights!$B$8*8/'Data and calc.'!$BS25*2</f>
        <v>0.74565589040453528</v>
      </c>
      <c r="BW25" s="85">
        <f>BC25/Weights!$B$20*8/'Data and calc.'!$BS25*2</f>
        <v>0.10630407086465629</v>
      </c>
      <c r="BX25" s="85">
        <f>BD25/Weights!$B$10*8/'Data and calc.'!$BS25</f>
        <v>0.12848672380475418</v>
      </c>
      <c r="BY25" s="85">
        <f>AV25/Weights!$B$11*8/'Data and calc.'!$BS25</f>
        <v>4.3488758381178862E-3</v>
      </c>
      <c r="BZ25" s="85">
        <f>AW25/Weights!$B$13*8/'Data and calc.'!$BS25</f>
        <v>0.40913155564072629</v>
      </c>
      <c r="CA25" s="85">
        <f>AX25/Weights!$B$14*8/'Data and calc.'!$BS25</f>
        <v>0.31992247791535966</v>
      </c>
      <c r="CB25" s="85">
        <f>AY25/Weights!$B$15*8/'Data and calc.'!$BS25*2</f>
        <v>0.21657879718813161</v>
      </c>
      <c r="CC25" s="85">
        <f>AZ25/Weights!$B$16*8/'Data and calc.'!$BS25*2</f>
        <v>5.4874751705350069E-2</v>
      </c>
      <c r="CD25" s="85">
        <f>BA25/Weights!$B$6*8/'Data and calc.'!$BS25*2</f>
        <v>1.0027268419935188E-3</v>
      </c>
      <c r="CE25" s="85">
        <f>B25/Weights!$B$19*8/'Data and calc.'!$BS25*2</f>
        <v>0.67201066589989311</v>
      </c>
      <c r="CF25" s="85">
        <f t="shared" si="83"/>
        <v>14.179702845867935</v>
      </c>
      <c r="CG25" s="85">
        <f t="shared" si="84"/>
        <v>0.51349373789240238</v>
      </c>
      <c r="CH25" s="85">
        <f t="shared" si="101"/>
        <v>0.14361437429063881</v>
      </c>
      <c r="CI25" s="85">
        <f>AR25/Weights!$B$5*2+AS25/Weights!$B$7*2+AT25/Weights!$B$8*3+'Data and calc.'!BC25/Weights!$B$20*3+'Data and calc.'!BD25/Weights!$B$10+'Data and calc.'!AV25/Weights!$B$11+'Data and calc.'!AW25/Weights!$B$13+'Data and calc.'!AX25/Weights!$B$14+'Data and calc.'!AY25/Weights!$B$15+AZ25/Weights!$B$16+'Data and calc.'!BA25/Weights!$B$6*5</f>
        <v>2.8614304615626942</v>
      </c>
      <c r="CJ25" s="84">
        <f>AR25/Weights!$B$5*8/'Data and calc.'!$CI25</f>
        <v>2.8033619581102922</v>
      </c>
      <c r="CK25" s="85">
        <f>AS25/Weights!$B$7*8/'Data and calc.'!$CI25</f>
        <v>7.6689647328113553E-3</v>
      </c>
      <c r="CL25" s="85">
        <f>AT25/Weights!$B$8*8/'Data and calc.'!$CI25*2</f>
        <v>0.77834698253154766</v>
      </c>
      <c r="CM25" s="85">
        <f>BC25/Weights!$B$20*8/'Data and calc.'!$CI25*2</f>
        <v>0.11096466058014497</v>
      </c>
      <c r="CN25" s="85">
        <f>BD25/Weights!$B$10*8/'Data and calc.'!$CI25</f>
        <v>0.13411984677615643</v>
      </c>
      <c r="CO25" s="85">
        <f>AV25/Weights!$B$11*8/'Data and calc.'!$CI25</f>
        <v>4.5395395242797685E-3</v>
      </c>
      <c r="CP25" s="85">
        <f>AW25/Weights!$B$13*8/'Data and calc.'!$CI25</f>
        <v>0.42706872686090219</v>
      </c>
      <c r="CQ25" s="85">
        <f>AX25/Weights!$B$14*8/'Data and calc.'!$CI25</f>
        <v>0.33394853917715572</v>
      </c>
      <c r="CR25" s="85">
        <f>AY25/Weights!$B$15*8/'Data and calc.'!$CI25*2</f>
        <v>0.22607405834377481</v>
      </c>
      <c r="CS25" s="85">
        <f>AZ25/Weights!$B$16*8/'Data and calc.'!$CI25*2</f>
        <v>5.728057399755148E-2</v>
      </c>
      <c r="CT25" s="85">
        <f>BA25/Weights!$B$6*8/'Data and calc.'!$CI25*2</f>
        <v>1.0466884548388947E-3</v>
      </c>
      <c r="CU25" s="85">
        <f t="shared" si="85"/>
        <v>8.0000000000000018</v>
      </c>
      <c r="CV25" s="85">
        <f t="shared" si="86"/>
        <v>14.801370263819184</v>
      </c>
      <c r="CW25" s="85">
        <f t="shared" si="87"/>
        <v>0.32392399212139833</v>
      </c>
      <c r="CX25" s="113"/>
      <c r="CY25" s="90">
        <f t="shared" si="88"/>
        <v>2.0498547349488406E-2</v>
      </c>
      <c r="CZ25" s="91">
        <f t="shared" si="89"/>
        <v>2.0086797186266163</v>
      </c>
      <c r="DA25" s="85">
        <f t="shared" si="90"/>
        <v>-0.25132028137338347</v>
      </c>
      <c r="DB25" s="85">
        <f t="shared" si="91"/>
        <v>0.25132028137338347</v>
      </c>
      <c r="DC25" s="85">
        <f t="shared" si="92"/>
        <v>6.3161883829596643E-2</v>
      </c>
      <c r="DD25" s="117"/>
      <c r="DE25" s="97"/>
      <c r="DF25" s="91">
        <f t="shared" si="93"/>
        <v>2.0150352630349144</v>
      </c>
      <c r="DG25" s="85">
        <f t="shared" si="94"/>
        <v>-0.24496473696508536</v>
      </c>
      <c r="DH25" s="85">
        <f t="shared" si="95"/>
        <v>0.24496473696508536</v>
      </c>
      <c r="DI25" s="85">
        <f t="shared" si="109"/>
        <v>6.0007722356373458E-2</v>
      </c>
      <c r="DK25" s="117"/>
      <c r="DL25" s="99">
        <f>'Eq. 3 coef.'!$B$15+'Eq. 3 coef.'!$B$16*'Data and calc.'!G25^2+'Eq. 3 coef.'!$B$17*'Data and calc.'!G25+'Eq. 3 coef.'!$B$18*'Data and calc.'!BF25+'Eq. 3 coef.'!$B$19*'Data and calc.'!BG25+'Eq. 3 coef.'!$B$20*'Data and calc.'!BH25+'Eq. 3 coef.'!$B$21*'Data and calc.'!BI25+'Eq. 3 coef.'!$B$22*'Data and calc.'!BJ25+'Eq. 3 coef.'!$B$23*'Data and calc.'!BK25+'Eq. 3 coef.'!$B$24*'Data and calc.'!BL25+'Eq. 3 coef.'!$B$25*'Data and calc.'!BM25+'Eq. 3 coef.'!$B$26*'Data and calc.'!BN25+'Eq. 3 coef.'!$B$27*'Data and calc.'!BO25+'Eq. 3 coef.'!$B$28*'Data and calc.'!BP25</f>
        <v>2.0894554670704792</v>
      </c>
      <c r="DM25" s="85">
        <f t="shared" si="96"/>
        <v>-0.17054453292952054</v>
      </c>
      <c r="DN25" s="85">
        <f t="shared" si="97"/>
        <v>0.17054453292952054</v>
      </c>
      <c r="DO25" s="85">
        <f t="shared" si="33"/>
        <v>2.9085437712148318E-2</v>
      </c>
      <c r="DP25" s="117"/>
      <c r="DQ25" s="99">
        <f>'Eq. 4 coef.'!$B$15+'Eq. 4 coef.'!$B$16*'Data and calc.'!G25^2+'Eq. 4 coef.'!$B$17*'Data and calc.'!G25+'Eq. 4 coef.'!$B$18*'Data and calc.'!O25+'Eq. 4 coef.'!$B$19*'Data and calc.'!P25+'Eq. 4 coef.'!$B$20*'Data and calc.'!Q25+'Eq. 4 coef.'!$B$21*'Data and calc.'!R25+'Eq. 4 coef.'!$B$22*'Data and calc.'!S25+'Eq. 4 coef.'!$B$23*'Data and calc.'!T25+'Eq. 4 coef.'!$B$24*'Data and calc.'!U25+'Eq. 4 coef.'!$B$25*'Data and calc.'!V25+'Eq. 4 coef.'!$B$26*'Data and calc.'!W25+'Eq. 4 coef.'!$B$27*'Data and calc.'!X25</f>
        <v>2.0917562410579933</v>
      </c>
      <c r="DR25" s="85">
        <f t="shared" si="98"/>
        <v>-0.16824375894200649</v>
      </c>
      <c r="DS25" s="85">
        <f t="shared" si="99"/>
        <v>0.16824375894200649</v>
      </c>
      <c r="DT25" s="85">
        <f t="shared" si="100"/>
        <v>2.8305962422935989E-2</v>
      </c>
    </row>
    <row r="26" spans="1:124" ht="15" x14ac:dyDescent="0.2">
      <c r="A26" s="66" t="s">
        <v>177</v>
      </c>
      <c r="B26" s="73">
        <v>1.66</v>
      </c>
      <c r="C26" s="73">
        <v>0.11</v>
      </c>
      <c r="D26" s="126">
        <f t="shared" si="40"/>
        <v>6.6265060240963862</v>
      </c>
      <c r="E26" s="72">
        <f t="shared" si="41"/>
        <v>1.6880211511083994E-2</v>
      </c>
      <c r="F26" s="64">
        <f t="shared" si="42"/>
        <v>4.8440536422228364</v>
      </c>
      <c r="G26" s="73">
        <v>2.2009210895038551</v>
      </c>
      <c r="H26" s="73">
        <v>4.0656843741077607E-2</v>
      </c>
      <c r="I26" s="126">
        <f t="shared" si="106"/>
        <v>1.8472649444348193</v>
      </c>
      <c r="J26" s="70">
        <v>1200</v>
      </c>
      <c r="K26" s="70">
        <v>200</v>
      </c>
      <c r="L26" s="73">
        <v>0.22767598911805301</v>
      </c>
      <c r="M26" s="70">
        <v>2.2999999999999998</v>
      </c>
      <c r="N26" s="64">
        <f t="shared" si="43"/>
        <v>1.0146344640113361</v>
      </c>
      <c r="O26" s="76">
        <v>61.837127507034637</v>
      </c>
      <c r="P26" s="73">
        <v>0.22485976838215474</v>
      </c>
      <c r="Q26" s="73">
        <v>14.56773147613252</v>
      </c>
      <c r="R26" s="73">
        <v>6.4678978799176239</v>
      </c>
      <c r="S26" s="73">
        <v>0.11822339077864175</v>
      </c>
      <c r="T26" s="73">
        <v>6.3192340782415748</v>
      </c>
      <c r="U26" s="73">
        <v>6.8751605156722917</v>
      </c>
      <c r="V26" s="73">
        <v>2.572056999357994</v>
      </c>
      <c r="W26" s="73">
        <v>0.99043619909093072</v>
      </c>
      <c r="X26" s="73">
        <v>2.7272185391634968E-2</v>
      </c>
      <c r="Y26" s="73">
        <f t="shared" si="107"/>
        <v>100.00000000000001</v>
      </c>
      <c r="Z26" s="73">
        <v>3.5624931984489248</v>
      </c>
      <c r="AA26" s="73">
        <v>0.570673926276142</v>
      </c>
      <c r="AB26" s="59">
        <f t="shared" si="44"/>
        <v>2.4377586207522257</v>
      </c>
      <c r="AC26" s="60">
        <f t="shared" si="45"/>
        <v>4.2717189423030062</v>
      </c>
      <c r="AD26" s="57">
        <f t="shared" si="46"/>
        <v>100.2415796831376</v>
      </c>
      <c r="AE26" s="57"/>
      <c r="AF26" s="57">
        <f t="shared" si="47"/>
        <v>60.810631190417865</v>
      </c>
      <c r="AG26" s="57">
        <f t="shared" si="48"/>
        <v>0.22112709622701096</v>
      </c>
      <c r="AH26" s="57">
        <f t="shared" si="49"/>
        <v>14.325907133628721</v>
      </c>
      <c r="AI26" s="57">
        <f t="shared" si="50"/>
        <v>6.3605307751109912</v>
      </c>
      <c r="AJ26" s="57">
        <f t="shared" si="51"/>
        <v>0.1162608824917163</v>
      </c>
      <c r="AK26" s="57">
        <f t="shared" si="52"/>
        <v>6.2143347925427648</v>
      </c>
      <c r="AL26" s="57">
        <f t="shared" si="53"/>
        <v>6.7610328511121311</v>
      </c>
      <c r="AM26" s="57">
        <f t="shared" si="54"/>
        <v>2.5293608531686513</v>
      </c>
      <c r="AN26" s="57">
        <f t="shared" si="55"/>
        <v>0.97399495818602133</v>
      </c>
      <c r="AO26" s="57">
        <f t="shared" si="56"/>
        <v>2.6819467114133827E-2</v>
      </c>
      <c r="AP26" s="57">
        <f t="shared" si="57"/>
        <v>98.34</v>
      </c>
      <c r="AQ26" s="57"/>
      <c r="AR26" s="84">
        <f t="shared" si="58"/>
        <v>60.664079100348893</v>
      </c>
      <c r="AS26" s="85">
        <f t="shared" si="59"/>
        <v>0.22059418549267779</v>
      </c>
      <c r="AT26" s="85">
        <f t="shared" si="60"/>
        <v>14.291382058136691</v>
      </c>
      <c r="AU26" s="85">
        <f t="shared" si="61"/>
        <v>6.34520205608945</v>
      </c>
      <c r="AV26" s="85">
        <f t="shared" si="62"/>
        <v>0.11598069669214663</v>
      </c>
      <c r="AW26" s="85">
        <f t="shared" si="63"/>
        <v>6.1993584021582659</v>
      </c>
      <c r="AX26" s="85">
        <f t="shared" si="64"/>
        <v>6.7447389321713338</v>
      </c>
      <c r="AY26" s="85">
        <f t="shared" si="65"/>
        <v>2.5232651571971729</v>
      </c>
      <c r="AZ26" s="85">
        <f t="shared" si="66"/>
        <v>0.97164765486019611</v>
      </c>
      <c r="BA26" s="85">
        <f t="shared" si="67"/>
        <v>2.6754832873653659E-2</v>
      </c>
      <c r="BB26" s="85">
        <f t="shared" si="108"/>
        <v>98.103003076020471</v>
      </c>
      <c r="BC26" s="85">
        <f t="shared" si="68"/>
        <v>2.3915144147025105</v>
      </c>
      <c r="BD26" s="85">
        <f t="shared" si="69"/>
        <v>4.1906845653664675</v>
      </c>
      <c r="BE26" s="85">
        <f t="shared" si="70"/>
        <v>100</v>
      </c>
      <c r="BF26" s="84">
        <f t="shared" si="71"/>
        <v>61.688101586687907</v>
      </c>
      <c r="BG26" s="85">
        <f t="shared" si="72"/>
        <v>0.22431786200190948</v>
      </c>
      <c r="BH26" s="85">
        <f t="shared" si="73"/>
        <v>14.53262361006375</v>
      </c>
      <c r="BI26" s="85">
        <f t="shared" si="74"/>
        <v>2.4318836838544953</v>
      </c>
      <c r="BJ26" s="85">
        <f t="shared" si="75"/>
        <v>4.2614242072060886</v>
      </c>
      <c r="BK26" s="85">
        <f t="shared" si="76"/>
        <v>0.11793847538351294</v>
      </c>
      <c r="BL26" s="85">
        <f t="shared" si="77"/>
        <v>6.3040048832197133</v>
      </c>
      <c r="BM26" s="85">
        <f t="shared" si="78"/>
        <v>6.8585915519334293</v>
      </c>
      <c r="BN26" s="85">
        <f t="shared" si="79"/>
        <v>2.5658584067492098</v>
      </c>
      <c r="BO26" s="85">
        <f t="shared" si="80"/>
        <v>0.98804927278848487</v>
      </c>
      <c r="BP26" s="85">
        <f t="shared" si="81"/>
        <v>2.7206460111504637E-2</v>
      </c>
      <c r="BQ26" s="85">
        <f t="shared" si="82"/>
        <v>100.00000000000001</v>
      </c>
      <c r="BR26" s="85"/>
      <c r="BS26" s="82">
        <f>AR26/Weights!$B$5*2+AS26/Weights!$B$7*2+AT26/Weights!$B$8*3+'Data and calc.'!BC26/Weights!$B$20*3+'Data and calc.'!BD26/Weights!$B$10+'Data and calc.'!AV26/Weights!$B$11+'Data and calc.'!AW26/Weights!$B$13+'Data and calc.'!AX26/Weights!$B$14+'Data and calc.'!AY26/Weights!$B$15+AZ26/Weights!$B$16+B26/Weights!$B$19+'Data and calc.'!BA26/Weights!$B$6*5</f>
        <v>2.9684665436838023</v>
      </c>
      <c r="BT26" s="84">
        <f>AR26/Weights!$B$5*8/'Data and calc.'!$BS26</f>
        <v>2.7210581846749111</v>
      </c>
      <c r="BU26" s="85">
        <f>AS26/Weights!$B$7*8/'Data and calc.'!$BS26</f>
        <v>7.443811953653753E-3</v>
      </c>
      <c r="BV26" s="85">
        <f>AT26/Weights!$B$8*8/'Data and calc.'!$BS26*2</f>
        <v>0.7554955296468937</v>
      </c>
      <c r="BW26" s="85">
        <f>BC26/Weights!$B$20*8/'Data and calc.'!$BS26*2</f>
        <v>8.0721879447619105E-2</v>
      </c>
      <c r="BX26" s="85">
        <f>BD26/Weights!$B$10*8/'Data and calc.'!$BS26</f>
        <v>0.15719991134869274</v>
      </c>
      <c r="BY26" s="85">
        <f>AV26/Weights!$B$11*8/'Data and calc.'!$BS26</f>
        <v>4.4062633943721162E-3</v>
      </c>
      <c r="BZ26" s="85">
        <f>AW26/Weights!$B$13*8/'Data and calc.'!$BS26</f>
        <v>0.41453043595800709</v>
      </c>
      <c r="CA26" s="85">
        <f>AX26/Weights!$B$14*8/'Data and calc.'!$BS26</f>
        <v>0.32414415953649012</v>
      </c>
      <c r="CB26" s="85">
        <f>AY26/Weights!$B$15*8/'Data and calc.'!$BS26*2</f>
        <v>0.21943676057217862</v>
      </c>
      <c r="CC26" s="85">
        <f>AZ26/Weights!$B$16*8/'Data and calc.'!$BS26*2</f>
        <v>5.5598876287805514E-2</v>
      </c>
      <c r="CD26" s="85">
        <f>BA26/Weights!$B$6*8/'Data and calc.'!$BS26*2</f>
        <v>1.0159587771405643E-3</v>
      </c>
      <c r="CE26" s="85">
        <f>B26/Weights!$B$19*8/'Data and calc.'!$BS26*2</f>
        <v>0.49666281498139364</v>
      </c>
      <c r="CF26" s="85">
        <f t="shared" si="83"/>
        <v>14.258877622892312</v>
      </c>
      <c r="CG26" s="85">
        <f t="shared" si="84"/>
        <v>0.4884318171894132</v>
      </c>
      <c r="CH26" s="85">
        <f t="shared" si="101"/>
        <v>0.10475793956875838</v>
      </c>
      <c r="CI26" s="85">
        <f>AR26/Weights!$B$5*2+AS26/Weights!$B$7*2+AT26/Weights!$B$8*3+'Data and calc.'!BC26/Weights!$B$20*3+'Data and calc.'!BD26/Weights!$B$10+'Data and calc.'!AV26/Weights!$B$11+'Data and calc.'!AW26/Weights!$B$13+'Data and calc.'!AX26/Weights!$B$14+'Data and calc.'!AY26/Weights!$B$15+AZ26/Weights!$B$16+'Data and calc.'!BA26/Weights!$B$6*5</f>
        <v>2.876321109323547</v>
      </c>
      <c r="CJ26" s="84">
        <f>AR26/Weights!$B$5*8/'Data and calc.'!$CI26</f>
        <v>2.8082296369629223</v>
      </c>
      <c r="CK26" s="85">
        <f>AS26/Weights!$B$7*8/'Data and calc.'!$CI26</f>
        <v>7.6822809074649631E-3</v>
      </c>
      <c r="CL26" s="85">
        <f>AT26/Weights!$B$8*8/'Data and calc.'!$CI26*2</f>
        <v>0.77969848233909722</v>
      </c>
      <c r="CM26" s="85">
        <f>BC26/Weights!$B$20*8/'Data and calc.'!$CI26*2</f>
        <v>8.3307874669072773E-2</v>
      </c>
      <c r="CN26" s="85">
        <f>BD26/Weights!$B$10*8/'Data and calc.'!$CI26</f>
        <v>0.1622359464651007</v>
      </c>
      <c r="CO26" s="85">
        <f>AV26/Weights!$B$11*8/'Data and calc.'!$CI26</f>
        <v>4.5474218530240432E-3</v>
      </c>
      <c r="CP26" s="85">
        <f>AW26/Weights!$B$13*8/'Data and calc.'!$CI26</f>
        <v>0.42781027698586777</v>
      </c>
      <c r="CQ26" s="85">
        <f>AX26/Weights!$B$14*8/'Data and calc.'!$CI26</f>
        <v>0.33452839802746104</v>
      </c>
      <c r="CR26" s="85">
        <f>AY26/Weights!$B$15*8/'Data and calc.'!$CI26*2</f>
        <v>0.22646660697979548</v>
      </c>
      <c r="CS26" s="85">
        <f>AZ26/Weights!$B$16*8/'Data and calc.'!$CI26*2</f>
        <v>5.7380034375084168E-2</v>
      </c>
      <c r="CT26" s="85">
        <f>BA26/Weights!$B$6*8/'Data and calc.'!$CI26*2</f>
        <v>1.0485058952311964E-3</v>
      </c>
      <c r="CU26" s="85">
        <f t="shared" si="85"/>
        <v>8</v>
      </c>
      <c r="CV26" s="85">
        <f t="shared" si="86"/>
        <v>14.715673099514229</v>
      </c>
      <c r="CW26" s="85">
        <f t="shared" si="87"/>
        <v>0.34910449336582983</v>
      </c>
      <c r="CX26" s="113"/>
      <c r="CY26" s="90">
        <f t="shared" si="88"/>
        <v>1.5279930580628192E-2</v>
      </c>
      <c r="CZ26" s="91">
        <f t="shared" si="89"/>
        <v>1.5049968112626591</v>
      </c>
      <c r="DA26" s="85">
        <f t="shared" si="90"/>
        <v>-0.15500318873734087</v>
      </c>
      <c r="DB26" s="85">
        <f t="shared" si="91"/>
        <v>0.15500318873734087</v>
      </c>
      <c r="DC26" s="85">
        <f t="shared" si="92"/>
        <v>2.4025988518743716E-2</v>
      </c>
      <c r="DD26" s="117"/>
      <c r="DE26" s="97"/>
      <c r="DF26" s="91">
        <f t="shared" si="93"/>
        <v>1.5063434583077682</v>
      </c>
      <c r="DG26" s="85">
        <f t="shared" si="94"/>
        <v>-0.15365654169223175</v>
      </c>
      <c r="DH26" s="85">
        <f t="shared" si="95"/>
        <v>0.15365654169223175</v>
      </c>
      <c r="DI26" s="85">
        <f t="shared" si="109"/>
        <v>2.3610332804816555E-2</v>
      </c>
      <c r="DK26" s="117"/>
      <c r="DL26" s="99">
        <f>'Eq. 3 coef.'!$B$15+'Eq. 3 coef.'!$B$16*'Data and calc.'!G26^2+'Eq. 3 coef.'!$B$17*'Data and calc.'!G26+'Eq. 3 coef.'!$B$18*'Data and calc.'!BF26+'Eq. 3 coef.'!$B$19*'Data and calc.'!BG26+'Eq. 3 coef.'!$B$20*'Data and calc.'!BH26+'Eq. 3 coef.'!$B$21*'Data and calc.'!BI26+'Eq. 3 coef.'!$B$22*'Data and calc.'!BJ26+'Eq. 3 coef.'!$B$23*'Data and calc.'!BK26+'Eq. 3 coef.'!$B$24*'Data and calc.'!BL26+'Eq. 3 coef.'!$B$25*'Data and calc.'!BM26+'Eq. 3 coef.'!$B$26*'Data and calc.'!BN26+'Eq. 3 coef.'!$B$27*'Data and calc.'!BO26+'Eq. 3 coef.'!$B$28*'Data and calc.'!BP26</f>
        <v>1.5911379061334969</v>
      </c>
      <c r="DM26" s="85">
        <f t="shared" si="96"/>
        <v>-6.8862093866502994E-2</v>
      </c>
      <c r="DN26" s="85">
        <f t="shared" si="97"/>
        <v>6.8862093866502994E-2</v>
      </c>
      <c r="DO26" s="85">
        <f t="shared" si="33"/>
        <v>4.7419879716790693E-3</v>
      </c>
      <c r="DP26" s="117"/>
      <c r="DQ26" s="99">
        <f>'Eq. 4 coef.'!$B$15+'Eq. 4 coef.'!$B$16*'Data and calc.'!G26^2+'Eq. 4 coef.'!$B$17*'Data and calc.'!G26+'Eq. 4 coef.'!$B$18*'Data and calc.'!O26+'Eq. 4 coef.'!$B$19*'Data and calc.'!P26+'Eq. 4 coef.'!$B$20*'Data and calc.'!Q26+'Eq. 4 coef.'!$B$21*'Data and calc.'!R26+'Eq. 4 coef.'!$B$22*'Data and calc.'!S26+'Eq. 4 coef.'!$B$23*'Data and calc.'!T26+'Eq. 4 coef.'!$B$24*'Data and calc.'!U26+'Eq. 4 coef.'!$B$25*'Data and calc.'!V26+'Eq. 4 coef.'!$B$26*'Data and calc.'!W26+'Eq. 4 coef.'!$B$27*'Data and calc.'!X26</f>
        <v>1.5887680160924731</v>
      </c>
      <c r="DR26" s="85">
        <f t="shared" si="98"/>
        <v>-7.123198390752683E-2</v>
      </c>
      <c r="DS26" s="85">
        <f t="shared" si="99"/>
        <v>7.123198390752683E-2</v>
      </c>
      <c r="DT26" s="85">
        <f t="shared" si="100"/>
        <v>5.0739955314021614E-3</v>
      </c>
    </row>
    <row r="27" spans="1:124" ht="15" x14ac:dyDescent="0.2">
      <c r="A27" s="66" t="s">
        <v>178</v>
      </c>
      <c r="B27" s="73">
        <v>2.33</v>
      </c>
      <c r="C27" s="73">
        <v>0.14000000000000001</v>
      </c>
      <c r="D27" s="126">
        <f t="shared" si="40"/>
        <v>6.0085836909871251</v>
      </c>
      <c r="E27" s="72">
        <f t="shared" si="41"/>
        <v>2.3855841097573462E-2</v>
      </c>
      <c r="F27" s="64">
        <f t="shared" si="42"/>
        <v>7.9306166155856044</v>
      </c>
      <c r="G27" s="73">
        <v>2.8161350492449051</v>
      </c>
      <c r="H27" s="73">
        <v>0.1021265389741832</v>
      </c>
      <c r="I27" s="126">
        <f t="shared" si="106"/>
        <v>3.6264787443899946</v>
      </c>
      <c r="J27" s="70">
        <v>1200</v>
      </c>
      <c r="K27" s="70">
        <v>200</v>
      </c>
      <c r="L27" s="73">
        <v>0.3862903110950982</v>
      </c>
      <c r="M27" s="70">
        <v>2.2999999999999998</v>
      </c>
      <c r="N27" s="64">
        <f t="shared" si="43"/>
        <v>1.4738276306789522</v>
      </c>
      <c r="O27" s="76">
        <v>61.837127507034637</v>
      </c>
      <c r="P27" s="73">
        <v>0.22485976838215474</v>
      </c>
      <c r="Q27" s="73">
        <v>14.56773147613252</v>
      </c>
      <c r="R27" s="73">
        <v>6.4678978799176239</v>
      </c>
      <c r="S27" s="73">
        <v>0.11822339077864175</v>
      </c>
      <c r="T27" s="73">
        <v>6.3192340782415748</v>
      </c>
      <c r="U27" s="73">
        <v>6.8751605156722917</v>
      </c>
      <c r="V27" s="73">
        <v>2.572056999357994</v>
      </c>
      <c r="W27" s="73">
        <v>0.99043619909093072</v>
      </c>
      <c r="X27" s="73">
        <v>2.7272185391634968E-2</v>
      </c>
      <c r="Y27" s="73">
        <f t="shared" si="107"/>
        <v>100.00000000000001</v>
      </c>
      <c r="Z27" s="73">
        <v>3.5624931984489248</v>
      </c>
      <c r="AA27" s="73">
        <v>0.73670054707935317</v>
      </c>
      <c r="AB27" s="59">
        <f t="shared" si="44"/>
        <v>2.8640503435591325</v>
      </c>
      <c r="AC27" s="60">
        <f t="shared" si="45"/>
        <v>3.8876723451796669</v>
      </c>
      <c r="AD27" s="57">
        <f t="shared" si="46"/>
        <v>100.28382480882117</v>
      </c>
      <c r="AE27" s="57"/>
      <c r="AF27" s="57">
        <f t="shared" si="47"/>
        <v>60.396322436120727</v>
      </c>
      <c r="AG27" s="57">
        <f t="shared" si="48"/>
        <v>0.21962053577885055</v>
      </c>
      <c r="AH27" s="57">
        <f t="shared" si="49"/>
        <v>14.228303332738633</v>
      </c>
      <c r="AI27" s="57">
        <f t="shared" si="50"/>
        <v>6.3171958593155431</v>
      </c>
      <c r="AJ27" s="57">
        <f t="shared" si="51"/>
        <v>0.11546878577349939</v>
      </c>
      <c r="AK27" s="57">
        <f t="shared" si="52"/>
        <v>6.171995924218546</v>
      </c>
      <c r="AL27" s="57">
        <f t="shared" si="53"/>
        <v>6.7149692756571282</v>
      </c>
      <c r="AM27" s="57">
        <f t="shared" si="54"/>
        <v>2.512128071272953</v>
      </c>
      <c r="AN27" s="57">
        <f t="shared" si="55"/>
        <v>0.96735903565211201</v>
      </c>
      <c r="AO27" s="57">
        <f t="shared" si="56"/>
        <v>2.6636743472009873E-2</v>
      </c>
      <c r="AP27" s="57">
        <f t="shared" si="57"/>
        <v>97.67</v>
      </c>
      <c r="AQ27" s="57"/>
      <c r="AR27" s="84">
        <f t="shared" si="58"/>
        <v>60.22538784421009</v>
      </c>
      <c r="AS27" s="85">
        <f t="shared" si="59"/>
        <v>0.21899896239251965</v>
      </c>
      <c r="AT27" s="85">
        <f t="shared" si="60"/>
        <v>14.188034171874827</v>
      </c>
      <c r="AU27" s="85">
        <f t="shared" si="61"/>
        <v>6.2993168353505702</v>
      </c>
      <c r="AV27" s="85">
        <f t="shared" si="62"/>
        <v>0.11514198425680962</v>
      </c>
      <c r="AW27" s="85">
        <f t="shared" si="63"/>
        <v>6.1545278473220391</v>
      </c>
      <c r="AX27" s="85">
        <f t="shared" si="64"/>
        <v>6.6959644673090546</v>
      </c>
      <c r="AY27" s="85">
        <f t="shared" si="65"/>
        <v>2.5050182081327845</v>
      </c>
      <c r="AZ27" s="85">
        <f t="shared" si="66"/>
        <v>0.964621201371471</v>
      </c>
      <c r="BA27" s="85">
        <f t="shared" si="67"/>
        <v>2.6561355754818449E-2</v>
      </c>
      <c r="BB27" s="85">
        <f t="shared" si="108"/>
        <v>97.393572877974989</v>
      </c>
      <c r="BC27" s="85">
        <f t="shared" si="68"/>
        <v>2.7894009586161568</v>
      </c>
      <c r="BD27" s="85">
        <f t="shared" si="69"/>
        <v>3.7863429987594381</v>
      </c>
      <c r="BE27" s="85">
        <f t="shared" si="70"/>
        <v>100.00000000000001</v>
      </c>
      <c r="BF27" s="84">
        <f t="shared" si="71"/>
        <v>61.662115126661298</v>
      </c>
      <c r="BG27" s="85">
        <f t="shared" si="72"/>
        <v>0.22422336683988908</v>
      </c>
      <c r="BH27" s="85">
        <f t="shared" si="73"/>
        <v>14.526501660566014</v>
      </c>
      <c r="BI27" s="85">
        <f t="shared" si="74"/>
        <v>2.8559444646423233</v>
      </c>
      <c r="BJ27" s="85">
        <f t="shared" si="75"/>
        <v>3.8766693956787535</v>
      </c>
      <c r="BK27" s="85">
        <f t="shared" si="76"/>
        <v>0.11788879313689936</v>
      </c>
      <c r="BL27" s="85">
        <f t="shared" si="77"/>
        <v>6.3013492856783442</v>
      </c>
      <c r="BM27" s="85">
        <f t="shared" si="78"/>
        <v>6.8557023316361771</v>
      </c>
      <c r="BN27" s="85">
        <f t="shared" si="79"/>
        <v>2.5647775244525284</v>
      </c>
      <c r="BO27" s="85">
        <f t="shared" si="80"/>
        <v>0.98763305147073921</v>
      </c>
      <c r="BP27" s="85">
        <f t="shared" si="81"/>
        <v>2.7194999237041516E-2</v>
      </c>
      <c r="BQ27" s="85">
        <f t="shared" si="82"/>
        <v>99.999999999999986</v>
      </c>
      <c r="BR27" s="85"/>
      <c r="BS27" s="82">
        <f>AR27/Weights!$B$5*2+AS27/Weights!$B$7*2+AT27/Weights!$B$8*3+'Data and calc.'!BC27/Weights!$B$20*3+'Data and calc.'!BD27/Weights!$B$10+'Data and calc.'!AV27/Weights!$B$11+'Data and calc.'!AW27/Weights!$B$13+'Data and calc.'!AX27/Weights!$B$14+'Data and calc.'!AY27/Weights!$B$15+AZ27/Weights!$B$16+B27/Weights!$B$19+'Data and calc.'!BA27/Weights!$B$6*5</f>
        <v>2.9874513690818456</v>
      </c>
      <c r="BT27" s="84">
        <f>AR27/Weights!$B$5*8/'Data and calc.'!$BS27</f>
        <v>2.684214010148787</v>
      </c>
      <c r="BU27" s="85">
        <f>AS27/Weights!$B$7*8/'Data and calc.'!$BS27</f>
        <v>7.3430198764006041E-3</v>
      </c>
      <c r="BV27" s="85">
        <f>AT27/Weights!$B$8*8/'Data and calc.'!$BS27*2</f>
        <v>0.7452658295600717</v>
      </c>
      <c r="BW27" s="85">
        <f>BC27/Weights!$B$20*8/'Data and calc.'!$BS27*2</f>
        <v>9.3553603880811464E-2</v>
      </c>
      <c r="BX27" s="85">
        <f>BD27/Weights!$B$10*8/'Data and calc.'!$BS27</f>
        <v>0.14112975638205852</v>
      </c>
      <c r="BY27" s="85">
        <f>AV27/Weights!$B$11*8/'Data and calc.'!$BS27</f>
        <v>4.3466008930611744E-3</v>
      </c>
      <c r="BZ27" s="85">
        <f>AW27/Weights!$B$13*8/'Data and calc.'!$BS27</f>
        <v>0.40891753439829581</v>
      </c>
      <c r="CA27" s="85">
        <f>AX27/Weights!$B$14*8/'Data and calc.'!$BS27</f>
        <v>0.319755122928288</v>
      </c>
      <c r="CB27" s="85">
        <f>AY27/Weights!$B$15*8/'Data and calc.'!$BS27*2</f>
        <v>0.21646550242360119</v>
      </c>
      <c r="CC27" s="85">
        <f>AZ27/Weights!$B$16*8/'Data and calc.'!$BS27*2</f>
        <v>5.4846046115727062E-2</v>
      </c>
      <c r="CD27" s="85">
        <f>BA27/Weights!$B$6*8/'Data and calc.'!$BS27*2</f>
        <v>1.0022023044906469E-3</v>
      </c>
      <c r="CE27" s="85">
        <f>B27/Weights!$B$19*8/'Data and calc.'!$BS27*2</f>
        <v>0.69269299031141296</v>
      </c>
      <c r="CF27" s="85">
        <f t="shared" si="83"/>
        <v>14.121505853864283</v>
      </c>
      <c r="CG27" s="85">
        <f t="shared" si="84"/>
        <v>0.53209456996306825</v>
      </c>
      <c r="CH27" s="85">
        <f t="shared" si="101"/>
        <v>0.1481113539309365</v>
      </c>
      <c r="CI27" s="85">
        <f>AR27/Weights!$B$5*2+AS27/Weights!$B$7*2+AT27/Weights!$B$8*3+'Data and calc.'!BC27/Weights!$B$20*3+'Data and calc.'!BD27/Weights!$B$10+'Data and calc.'!AV27/Weights!$B$11+'Data and calc.'!AW27/Weights!$B$13+'Data and calc.'!AX27/Weights!$B$14+'Data and calc.'!AY27/Weights!$B$15+AZ27/Weights!$B$16+'Data and calc.'!BA27/Weights!$B$6*5</f>
        <v>2.8581147051906437</v>
      </c>
      <c r="CJ27" s="84">
        <f>AR27/Weights!$B$5*8/'Data and calc.'!$CI27</f>
        <v>2.8056812432910312</v>
      </c>
      <c r="CK27" s="85">
        <f>AS27/Weights!$B$7*8/'Data and calc.'!$CI27</f>
        <v>7.6753094419578028E-3</v>
      </c>
      <c r="CL27" s="85">
        <f>AT27/Weights!$B$8*8/'Data and calc.'!$CI27*2</f>
        <v>0.77899092671322434</v>
      </c>
      <c r="CM27" s="85">
        <f>BC27/Weights!$B$20*8/'Data and calc.'!$CI27*2</f>
        <v>9.7787132716784506E-2</v>
      </c>
      <c r="CN27" s="85">
        <f>BD27/Weights!$B$10*8/'Data and calc.'!$CI27</f>
        <v>0.14751622219922242</v>
      </c>
      <c r="CO27" s="85">
        <f>AV27/Weights!$B$11*8/'Data and calc.'!$CI27</f>
        <v>4.5432951886939148E-3</v>
      </c>
      <c r="CP27" s="85">
        <f>AW27/Weights!$B$13*8/'Data and calc.'!$CI27</f>
        <v>0.42742205054302612</v>
      </c>
      <c r="CQ27" s="85">
        <f>AX27/Weights!$B$14*8/'Data and calc.'!$CI27</f>
        <v>0.33422482240765422</v>
      </c>
      <c r="CR27" s="85">
        <f>AY27/Weights!$B$15*8/'Data and calc.'!$CI27*2</f>
        <v>0.22626109455996857</v>
      </c>
      <c r="CS27" s="85">
        <f>AZ27/Weights!$B$16*8/'Data and calc.'!$CI27*2</f>
        <v>5.7327963520703282E-2</v>
      </c>
      <c r="CT27" s="85">
        <f>BA27/Weights!$B$6*8/'Data and calc.'!$CI27*2</f>
        <v>1.0475544040307698E-3</v>
      </c>
      <c r="CU27" s="85">
        <f t="shared" si="85"/>
        <v>7.9999999999999991</v>
      </c>
      <c r="CV27" s="85">
        <f t="shared" si="86"/>
        <v>14.760538448651991</v>
      </c>
      <c r="CW27" s="85">
        <f t="shared" si="87"/>
        <v>0.33588518621045388</v>
      </c>
      <c r="CX27" s="113"/>
      <c r="CY27" s="90">
        <f t="shared" si="88"/>
        <v>2.0576922773998634E-2</v>
      </c>
      <c r="CZ27" s="91">
        <f t="shared" si="89"/>
        <v>2.0162049831647315</v>
      </c>
      <c r="DA27" s="85">
        <f t="shared" si="90"/>
        <v>-0.31379501683526856</v>
      </c>
      <c r="DB27" s="85">
        <f t="shared" si="91"/>
        <v>0.31379501683526856</v>
      </c>
      <c r="DC27" s="85">
        <f t="shared" si="92"/>
        <v>9.8467312590646477E-2</v>
      </c>
      <c r="DD27" s="117"/>
      <c r="DE27" s="97"/>
      <c r="DF27" s="91">
        <f t="shared" si="93"/>
        <v>2.0226267970430198</v>
      </c>
      <c r="DG27" s="85">
        <f t="shared" si="94"/>
        <v>-0.30737320295698023</v>
      </c>
      <c r="DH27" s="85">
        <f t="shared" si="95"/>
        <v>0.30737320295698023</v>
      </c>
      <c r="DI27" s="85">
        <f t="shared" si="109"/>
        <v>9.4478285896032965E-2</v>
      </c>
      <c r="DK27" s="117"/>
      <c r="DL27" s="99">
        <f>'Eq. 3 coef.'!$B$15+'Eq. 3 coef.'!$B$16*'Data and calc.'!G27^2+'Eq. 3 coef.'!$B$17*'Data and calc.'!G27+'Eq. 3 coef.'!$B$18*'Data and calc.'!BF27+'Eq. 3 coef.'!$B$19*'Data and calc.'!BG27+'Eq. 3 coef.'!$B$20*'Data and calc.'!BH27+'Eq. 3 coef.'!$B$21*'Data and calc.'!BI27+'Eq. 3 coef.'!$B$22*'Data and calc.'!BJ27+'Eq. 3 coef.'!$B$23*'Data and calc.'!BK27+'Eq. 3 coef.'!$B$24*'Data and calc.'!BL27+'Eq. 3 coef.'!$B$25*'Data and calc.'!BM27+'Eq. 3 coef.'!$B$26*'Data and calc.'!BN27+'Eq. 3 coef.'!$B$27*'Data and calc.'!BO27+'Eq. 3 coef.'!$B$28*'Data and calc.'!BP27</f>
        <v>2.1101521209060934</v>
      </c>
      <c r="DM27" s="85">
        <f t="shared" si="96"/>
        <v>-0.21984787909390668</v>
      </c>
      <c r="DN27" s="85">
        <f t="shared" si="97"/>
        <v>0.21984787909390668</v>
      </c>
      <c r="DO27" s="85">
        <f t="shared" si="33"/>
        <v>4.8333089942089014E-2</v>
      </c>
      <c r="DP27" s="117"/>
      <c r="DQ27" s="99">
        <f>'Eq. 4 coef.'!$B$15+'Eq. 4 coef.'!$B$16*'Data and calc.'!G27^2+'Eq. 4 coef.'!$B$17*'Data and calc.'!G27+'Eq. 4 coef.'!$B$18*'Data and calc.'!O27+'Eq. 4 coef.'!$B$19*'Data and calc.'!P27+'Eq. 4 coef.'!$B$20*'Data and calc.'!Q27+'Eq. 4 coef.'!$B$21*'Data and calc.'!R27+'Eq. 4 coef.'!$B$22*'Data and calc.'!S27+'Eq. 4 coef.'!$B$23*'Data and calc.'!T27+'Eq. 4 coef.'!$B$24*'Data and calc.'!U27+'Eq. 4 coef.'!$B$25*'Data and calc.'!V27+'Eq. 4 coef.'!$B$26*'Data and calc.'!W27+'Eq. 4 coef.'!$B$27*'Data and calc.'!X27</f>
        <v>2.0992595722894123</v>
      </c>
      <c r="DR27" s="85">
        <f t="shared" si="98"/>
        <v>-0.23074042771058778</v>
      </c>
      <c r="DS27" s="85">
        <f t="shared" si="99"/>
        <v>0.23074042771058778</v>
      </c>
      <c r="DT27" s="85">
        <f t="shared" si="100"/>
        <v>5.3241144980064985E-2</v>
      </c>
    </row>
    <row r="28" spans="1:124" ht="15" x14ac:dyDescent="0.2">
      <c r="A28" s="66" t="s">
        <v>179</v>
      </c>
      <c r="B28" s="73">
        <v>1.04</v>
      </c>
      <c r="C28" s="73">
        <v>0.1</v>
      </c>
      <c r="D28" s="126">
        <f t="shared" si="40"/>
        <v>9.615384615384615</v>
      </c>
      <c r="E28" s="72">
        <f t="shared" si="41"/>
        <v>1.0509296685529508E-2</v>
      </c>
      <c r="F28" s="64">
        <f t="shared" si="42"/>
        <v>2.3662016201671254</v>
      </c>
      <c r="G28" s="73">
        <v>1.5382462807259198</v>
      </c>
      <c r="H28" s="73">
        <v>4.8256059951273564E-2</v>
      </c>
      <c r="I28" s="126">
        <f t="shared" si="106"/>
        <v>3.1370828297079227</v>
      </c>
      <c r="J28" s="70">
        <v>1240</v>
      </c>
      <c r="K28" s="70">
        <v>200</v>
      </c>
      <c r="L28" s="73">
        <v>0.10417384067001635</v>
      </c>
      <c r="M28" s="70">
        <v>2.2999999999999998</v>
      </c>
      <c r="N28" s="64">
        <f t="shared" si="43"/>
        <v>0.33551735195834365</v>
      </c>
      <c r="O28" s="76">
        <v>61.837127507034637</v>
      </c>
      <c r="P28" s="73">
        <v>0.22485976838215474</v>
      </c>
      <c r="Q28" s="73">
        <v>14.56773147613252</v>
      </c>
      <c r="R28" s="73">
        <v>6.4678978799176239</v>
      </c>
      <c r="S28" s="73">
        <v>0.11822339077864175</v>
      </c>
      <c r="T28" s="73">
        <v>6.3192340782415748</v>
      </c>
      <c r="U28" s="73">
        <v>6.8751605156722917</v>
      </c>
      <c r="V28" s="73">
        <v>2.572056999357994</v>
      </c>
      <c r="W28" s="73">
        <v>0.99043619909093072</v>
      </c>
      <c r="X28" s="73">
        <v>2.7272185391634968E-2</v>
      </c>
      <c r="Y28" s="73">
        <f t="shared" si="107"/>
        <v>100.00000000000001</v>
      </c>
      <c r="Z28" s="73">
        <v>3.5624931984489248</v>
      </c>
      <c r="AA28" s="73">
        <v>0.37346469199696536</v>
      </c>
      <c r="AB28" s="59">
        <f t="shared" si="44"/>
        <v>1.8074174383193098</v>
      </c>
      <c r="AC28" s="60">
        <f t="shared" si="45"/>
        <v>4.8395938814317594</v>
      </c>
      <c r="AD28" s="57">
        <f t="shared" si="46"/>
        <v>100.17911343983343</v>
      </c>
      <c r="AE28" s="57"/>
      <c r="AF28" s="57">
        <f t="shared" si="47"/>
        <v>61.194021380961473</v>
      </c>
      <c r="AG28" s="57">
        <f t="shared" si="48"/>
        <v>0.22252122679098033</v>
      </c>
      <c r="AH28" s="57">
        <f t="shared" si="49"/>
        <v>14.41622706878074</v>
      </c>
      <c r="AI28" s="57">
        <f t="shared" si="50"/>
        <v>6.40063174196648</v>
      </c>
      <c r="AJ28" s="57">
        <f t="shared" si="51"/>
        <v>0.11699386751454387</v>
      </c>
      <c r="AK28" s="57">
        <f t="shared" si="52"/>
        <v>6.2535140438278622</v>
      </c>
      <c r="AL28" s="57">
        <f t="shared" si="53"/>
        <v>6.8036588463092995</v>
      </c>
      <c r="AM28" s="57">
        <f t="shared" si="54"/>
        <v>2.5453076065646707</v>
      </c>
      <c r="AN28" s="57">
        <f t="shared" si="55"/>
        <v>0.98013566262038498</v>
      </c>
      <c r="AO28" s="57">
        <f t="shared" si="56"/>
        <v>2.6988554663561964E-2</v>
      </c>
      <c r="AP28" s="57">
        <f t="shared" si="57"/>
        <v>98.96</v>
      </c>
      <c r="AQ28" s="57"/>
      <c r="AR28" s="84">
        <f t="shared" si="58"/>
        <v>61.084610633646697</v>
      </c>
      <c r="AS28" s="85">
        <f t="shared" si="59"/>
        <v>0.22212337397517931</v>
      </c>
      <c r="AT28" s="85">
        <f t="shared" si="60"/>
        <v>14.390451835490619</v>
      </c>
      <c r="AU28" s="85">
        <f t="shared" si="61"/>
        <v>6.3891878478348039</v>
      </c>
      <c r="AV28" s="85">
        <f t="shared" si="62"/>
        <v>0.116784690438301</v>
      </c>
      <c r="AW28" s="85">
        <f t="shared" si="63"/>
        <v>6.242333186132317</v>
      </c>
      <c r="AX28" s="85">
        <f t="shared" si="64"/>
        <v>6.791494367132235</v>
      </c>
      <c r="AY28" s="85">
        <f t="shared" si="65"/>
        <v>2.5407567697166304</v>
      </c>
      <c r="AZ28" s="85">
        <f t="shared" si="66"/>
        <v>0.97838324673240851</v>
      </c>
      <c r="BA28" s="85">
        <f t="shared" si="67"/>
        <v>2.6940300963804214E-2</v>
      </c>
      <c r="BB28" s="85">
        <f t="shared" si="108"/>
        <v>98.78306625206298</v>
      </c>
      <c r="BC28" s="85">
        <f t="shared" si="68"/>
        <v>1.7854223655463035</v>
      </c>
      <c r="BD28" s="85">
        <f t="shared" si="69"/>
        <v>4.7806992302255216</v>
      </c>
      <c r="BE28" s="85">
        <f t="shared" si="70"/>
        <v>100.00000000000001</v>
      </c>
      <c r="BF28" s="84">
        <f t="shared" si="71"/>
        <v>61.726566929715744</v>
      </c>
      <c r="BG28" s="85">
        <f t="shared" si="72"/>
        <v>0.22445773441307532</v>
      </c>
      <c r="BH28" s="85">
        <f t="shared" si="73"/>
        <v>14.541685363268613</v>
      </c>
      <c r="BI28" s="85">
        <f t="shared" si="74"/>
        <v>1.8041858988948098</v>
      </c>
      <c r="BJ28" s="85">
        <f t="shared" si="75"/>
        <v>4.830941016800244</v>
      </c>
      <c r="BK28" s="85">
        <f t="shared" si="76"/>
        <v>0.11801201539844483</v>
      </c>
      <c r="BL28" s="85">
        <f t="shared" si="77"/>
        <v>6.307935717595309</v>
      </c>
      <c r="BM28" s="85">
        <f t="shared" si="78"/>
        <v>6.8628681963745306</v>
      </c>
      <c r="BN28" s="85">
        <f t="shared" si="79"/>
        <v>2.5674583364153505</v>
      </c>
      <c r="BO28" s="85">
        <f t="shared" si="80"/>
        <v>0.98866536654447101</v>
      </c>
      <c r="BP28" s="85">
        <f t="shared" si="81"/>
        <v>2.7223424579430291E-2</v>
      </c>
      <c r="BQ28" s="85">
        <f t="shared" si="82"/>
        <v>100.00000000000004</v>
      </c>
      <c r="BR28" s="85"/>
      <c r="BS28" s="82">
        <f>AR28/Weights!$B$5*2+AS28/Weights!$B$7*2+AT28/Weights!$B$8*3+'Data and calc.'!BC28/Weights!$B$20*3+'Data and calc.'!BD28/Weights!$B$10+'Data and calc.'!AV28/Weights!$B$11+'Data and calc.'!AW28/Weights!$B$13+'Data and calc.'!AX28/Weights!$B$14+'Data and calc.'!AY28/Weights!$B$15+AZ28/Weights!$B$16+B28/Weights!$B$19+'Data and calc.'!BA28/Weights!$B$6*5</f>
        <v>2.9500999576784777</v>
      </c>
      <c r="BT28" s="84">
        <f>AR28/Weights!$B$5*8/'Data and calc.'!$BS28</f>
        <v>2.7569789887986733</v>
      </c>
      <c r="BU28" s="85">
        <f>AS28/Weights!$B$7*8/'Data and calc.'!$BS28</f>
        <v>7.5420780299277727E-3</v>
      </c>
      <c r="BV28" s="85">
        <f>AT28/Weights!$B$8*8/'Data and calc.'!$BS28*2</f>
        <v>0.76546885807098441</v>
      </c>
      <c r="BW28" s="85">
        <f>BC28/Weights!$B$20*8/'Data and calc.'!$BS28*2</f>
        <v>6.0639367132061674E-2</v>
      </c>
      <c r="BX28" s="85">
        <f>BD28/Weights!$B$10*8/'Data and calc.'!$BS28</f>
        <v>0.18044887262131545</v>
      </c>
      <c r="BY28" s="85">
        <f>AV28/Weights!$B$11*8/'Data and calc.'!$BS28</f>
        <v>4.4644306637081259E-3</v>
      </c>
      <c r="BZ28" s="85">
        <f>AW28/Weights!$B$13*8/'Data and calc.'!$BS28</f>
        <v>0.42000266976662154</v>
      </c>
      <c r="CA28" s="85">
        <f>AX28/Weights!$B$14*8/'Data and calc.'!$BS28</f>
        <v>0.32842320028914584</v>
      </c>
      <c r="CB28" s="85">
        <f>AY28/Weights!$B$15*8/'Data and calc.'!$BS28*2</f>
        <v>0.22233355452478848</v>
      </c>
      <c r="CC28" s="85">
        <f>AZ28/Weights!$B$16*8/'Data and calc.'!$BS28*2</f>
        <v>5.6332839404023873E-2</v>
      </c>
      <c r="CD28" s="85">
        <f>BA28/Weights!$B$6*8/'Data and calc.'!$BS28*2</f>
        <v>1.0293704919054371E-3</v>
      </c>
      <c r="CE28" s="85">
        <f>B28/Weights!$B$19*8/'Data and calc.'!$BS28*2</f>
        <v>0.31309946400654032</v>
      </c>
      <c r="CF28" s="85">
        <f t="shared" si="83"/>
        <v>14.362517168126589</v>
      </c>
      <c r="CG28" s="85">
        <f t="shared" si="84"/>
        <v>0.45604341152881644</v>
      </c>
      <c r="CH28" s="85">
        <f t="shared" si="101"/>
        <v>6.517929834992281E-2</v>
      </c>
      <c r="CI28" s="85">
        <f>AR28/Weights!$B$5*2+AS28/Weights!$B$7*2+AT28/Weights!$B$8*3+'Data and calc.'!BC28/Weights!$B$20*3+'Data and calc.'!BD28/Weights!$B$10+'Data and calc.'!AV28/Weights!$B$11+'Data and calc.'!AW28/Weights!$B$13+'Data and calc.'!AX28/Weights!$B$14+'Data and calc.'!AY28/Weights!$B$15+AZ28/Weights!$B$16+'Data and calc.'!BA28/Weights!$B$6*5</f>
        <v>2.8923702879587996</v>
      </c>
      <c r="CJ28" s="84">
        <f>AR28/Weights!$B$5*8/'Data and calc.'!$CI28</f>
        <v>2.8120063437366056</v>
      </c>
      <c r="CK28" s="85">
        <f>AS28/Weights!$B$7*8/'Data and calc.'!$CI28</f>
        <v>7.6926125847461462E-3</v>
      </c>
      <c r="CL28" s="85">
        <f>AT28/Weights!$B$8*8/'Data and calc.'!$CI28*2</f>
        <v>0.780747076264936</v>
      </c>
      <c r="CM28" s="85">
        <f>BC28/Weights!$B$20*8/'Data and calc.'!$CI28*2</f>
        <v>6.1849686105091478E-2</v>
      </c>
      <c r="CN28" s="85">
        <f>BD28/Weights!$B$10*8/'Data and calc.'!$CI28</f>
        <v>0.18405050477093504</v>
      </c>
      <c r="CO28" s="85">
        <f>AV28/Weights!$B$11*8/'Data and calc.'!$CI28</f>
        <v>4.5535375490800391E-3</v>
      </c>
      <c r="CP28" s="85">
        <f>AW28/Weights!$B$13*8/'Data and calc.'!$CI28</f>
        <v>0.42838562664733315</v>
      </c>
      <c r="CQ28" s="85">
        <f>AX28/Weights!$B$14*8/'Data and calc.'!$CI28</f>
        <v>0.33497829558932346</v>
      </c>
      <c r="CR28" s="85">
        <f>AY28/Weights!$B$15*8/'Data and calc.'!$CI28*2</f>
        <v>0.22677117536599001</v>
      </c>
      <c r="CS28" s="85">
        <f>AZ28/Weights!$B$16*8/'Data and calc.'!$CI28*2</f>
        <v>5.7457203122841159E-2</v>
      </c>
      <c r="CT28" s="85">
        <f>BA28/Weights!$B$6*8/'Data and calc.'!$CI28*2</f>
        <v>1.0499160004678351E-3</v>
      </c>
      <c r="CU28" s="85">
        <f t="shared" si="85"/>
        <v>8.0000000000000018</v>
      </c>
      <c r="CV28" s="85">
        <f t="shared" si="86"/>
        <v>14.649182874765517</v>
      </c>
      <c r="CW28" s="85">
        <f t="shared" si="87"/>
        <v>0.36884436129509518</v>
      </c>
      <c r="CX28" s="113"/>
      <c r="CY28" s="90">
        <f t="shared" si="88"/>
        <v>9.5743004770501693E-3</v>
      </c>
      <c r="CZ28" s="91">
        <f t="shared" si="89"/>
        <v>0.948350257383341</v>
      </c>
      <c r="DA28" s="85">
        <f t="shared" si="90"/>
        <v>-9.1649742616659036E-2</v>
      </c>
      <c r="DB28" s="85">
        <f t="shared" si="91"/>
        <v>9.1649742616659036E-2</v>
      </c>
      <c r="DC28" s="85">
        <f t="shared" si="92"/>
        <v>8.3996753216998479E-3</v>
      </c>
      <c r="DD28" s="117"/>
      <c r="DE28" s="97"/>
      <c r="DF28" s="91">
        <f t="shared" si="93"/>
        <v>0.94294013970010537</v>
      </c>
      <c r="DG28" s="85">
        <f t="shared" si="94"/>
        <v>-9.7059860299894662E-2</v>
      </c>
      <c r="DH28" s="85">
        <f t="shared" si="95"/>
        <v>9.7059860299894662E-2</v>
      </c>
      <c r="DI28" s="85">
        <f t="shared" si="109"/>
        <v>9.4206164814350686E-3</v>
      </c>
      <c r="DK28" s="117"/>
      <c r="DL28" s="99">
        <f>'Eq. 3 coef.'!$B$15+'Eq. 3 coef.'!$B$16*'Data and calc.'!G28^2+'Eq. 3 coef.'!$B$17*'Data and calc.'!G28+'Eq. 3 coef.'!$B$18*'Data and calc.'!BF28+'Eq. 3 coef.'!$B$19*'Data and calc.'!BG28+'Eq. 3 coef.'!$B$20*'Data and calc.'!BH28+'Eq. 3 coef.'!$B$21*'Data and calc.'!BI28+'Eq. 3 coef.'!$B$22*'Data and calc.'!BJ28+'Eq. 3 coef.'!$B$23*'Data and calc.'!BK28+'Eq. 3 coef.'!$B$24*'Data and calc.'!BL28+'Eq. 3 coef.'!$B$25*'Data and calc.'!BM28+'Eq. 3 coef.'!$B$26*'Data and calc.'!BN28+'Eq. 3 coef.'!$B$27*'Data and calc.'!BO28+'Eq. 3 coef.'!$B$28*'Data and calc.'!BP28</f>
        <v>1.026571366400276</v>
      </c>
      <c r="DM28" s="85">
        <f t="shared" si="96"/>
        <v>-1.3428633599724016E-2</v>
      </c>
      <c r="DN28" s="85">
        <f t="shared" si="97"/>
        <v>1.3428633599724016E-2</v>
      </c>
      <c r="DO28" s="85">
        <f t="shared" si="33"/>
        <v>1.8032820035563678E-4</v>
      </c>
      <c r="DP28" s="117"/>
      <c r="DQ28" s="99">
        <f>'Eq. 4 coef.'!$B$15+'Eq. 4 coef.'!$B$16*'Data and calc.'!G28^2+'Eq. 4 coef.'!$B$17*'Data and calc.'!G28+'Eq. 4 coef.'!$B$18*'Data and calc.'!O28+'Eq. 4 coef.'!$B$19*'Data and calc.'!P28+'Eq. 4 coef.'!$B$20*'Data and calc.'!Q28+'Eq. 4 coef.'!$B$21*'Data and calc.'!R28+'Eq. 4 coef.'!$B$22*'Data and calc.'!S28+'Eq. 4 coef.'!$B$23*'Data and calc.'!T28+'Eq. 4 coef.'!$B$24*'Data and calc.'!U28+'Eq. 4 coef.'!$B$25*'Data and calc.'!V28+'Eq. 4 coef.'!$B$26*'Data and calc.'!W28+'Eq. 4 coef.'!$B$27*'Data and calc.'!X28</f>
        <v>1.0312186067569939</v>
      </c>
      <c r="DR28" s="85">
        <f t="shared" si="98"/>
        <v>-8.7813932430060859E-3</v>
      </c>
      <c r="DS28" s="85">
        <f t="shared" si="99"/>
        <v>8.7813932430060859E-3</v>
      </c>
      <c r="DT28" s="85">
        <f t="shared" si="100"/>
        <v>7.7112867288312947E-5</v>
      </c>
    </row>
    <row r="29" spans="1:124" ht="15" x14ac:dyDescent="0.2">
      <c r="A29" s="66" t="s">
        <v>180</v>
      </c>
      <c r="B29" s="73">
        <v>5.23</v>
      </c>
      <c r="C29" s="73">
        <v>0.14000000000000001</v>
      </c>
      <c r="D29" s="126">
        <f t="shared" si="40"/>
        <v>2.676864244741874</v>
      </c>
      <c r="E29" s="72">
        <f t="shared" si="41"/>
        <v>5.5186240371425561E-2</v>
      </c>
      <c r="F29" s="64">
        <f t="shared" si="42"/>
        <v>40.09862680737784</v>
      </c>
      <c r="G29" s="73">
        <v>6.3323476537045753</v>
      </c>
      <c r="H29" s="73">
        <v>9.3476666769489763E-2</v>
      </c>
      <c r="I29" s="126">
        <f t="shared" si="106"/>
        <v>1.4761771128406647</v>
      </c>
      <c r="J29" s="70">
        <v>1105</v>
      </c>
      <c r="K29" s="70">
        <v>200</v>
      </c>
      <c r="L29" s="73">
        <v>1</v>
      </c>
      <c r="M29" s="70">
        <v>2.2999999999999998</v>
      </c>
      <c r="N29" s="64">
        <f t="shared" si="43"/>
        <v>2.2999999999999998</v>
      </c>
      <c r="O29" s="76">
        <v>61.837127507034637</v>
      </c>
      <c r="P29" s="73">
        <v>0.22485976838215474</v>
      </c>
      <c r="Q29" s="73">
        <v>14.56773147613252</v>
      </c>
      <c r="R29" s="73">
        <v>6.4678978799176239</v>
      </c>
      <c r="S29" s="73">
        <v>0.11822339077864175</v>
      </c>
      <c r="T29" s="73">
        <v>6.3192340782415748</v>
      </c>
      <c r="U29" s="73">
        <v>6.8751605156722917</v>
      </c>
      <c r="V29" s="73">
        <v>2.572056999357994</v>
      </c>
      <c r="W29" s="73">
        <v>0.99043619909093072</v>
      </c>
      <c r="X29" s="73">
        <v>2.7272185391634968E-2</v>
      </c>
      <c r="Y29" s="73">
        <f t="shared" si="107"/>
        <v>100.00000000000001</v>
      </c>
      <c r="Z29" s="73">
        <v>3.5624931984489248</v>
      </c>
      <c r="AA29" s="73">
        <v>1.291453808651831</v>
      </c>
      <c r="AB29" s="59">
        <f t="shared" si="44"/>
        <v>3.8609197337861225</v>
      </c>
      <c r="AC29" s="60">
        <f t="shared" si="45"/>
        <v>2.9895918134436399</v>
      </c>
      <c r="AD29" s="57">
        <f t="shared" si="46"/>
        <v>100.38261366731213</v>
      </c>
      <c r="AE29" s="57"/>
      <c r="AF29" s="57">
        <f t="shared" si="47"/>
        <v>58.603045738416725</v>
      </c>
      <c r="AG29" s="57">
        <f t="shared" si="48"/>
        <v>0.21309960249576804</v>
      </c>
      <c r="AH29" s="57">
        <f t="shared" si="49"/>
        <v>13.805839119930788</v>
      </c>
      <c r="AI29" s="57">
        <f t="shared" si="50"/>
        <v>6.1296268207979328</v>
      </c>
      <c r="AJ29" s="57">
        <f t="shared" si="51"/>
        <v>0.11204030744091878</v>
      </c>
      <c r="AK29" s="57">
        <f t="shared" si="52"/>
        <v>5.9887381359495411</v>
      </c>
      <c r="AL29" s="57">
        <f t="shared" si="53"/>
        <v>6.5155896207026309</v>
      </c>
      <c r="AM29" s="57">
        <f t="shared" si="54"/>
        <v>2.4375384182915711</v>
      </c>
      <c r="AN29" s="57">
        <f t="shared" si="55"/>
        <v>0.93863638587847509</v>
      </c>
      <c r="AO29" s="57">
        <f t="shared" si="56"/>
        <v>2.5845850095652462E-2</v>
      </c>
      <c r="AP29" s="57">
        <f t="shared" si="57"/>
        <v>94.77000000000001</v>
      </c>
      <c r="AQ29" s="57"/>
      <c r="AR29" s="84">
        <f t="shared" si="58"/>
        <v>58.379677114842643</v>
      </c>
      <c r="AS29" s="85">
        <f t="shared" si="59"/>
        <v>0.2122873620346471</v>
      </c>
      <c r="AT29" s="85">
        <f t="shared" si="60"/>
        <v>13.753217430347126</v>
      </c>
      <c r="AU29" s="85">
        <f t="shared" si="61"/>
        <v>6.1062634223818186</v>
      </c>
      <c r="AV29" s="85">
        <f t="shared" si="62"/>
        <v>0.11161325985418406</v>
      </c>
      <c r="AW29" s="85">
        <f t="shared" si="63"/>
        <v>5.9659117422439367</v>
      </c>
      <c r="AX29" s="85">
        <f t="shared" si="64"/>
        <v>6.4907551045608214</v>
      </c>
      <c r="AY29" s="85">
        <f t="shared" si="65"/>
        <v>2.4282476110554922</v>
      </c>
      <c r="AZ29" s="85">
        <f t="shared" si="66"/>
        <v>0.93505872340533192</v>
      </c>
      <c r="BA29" s="85">
        <f t="shared" si="67"/>
        <v>2.574733726431026E-2</v>
      </c>
      <c r="BB29" s="85">
        <f t="shared" si="108"/>
        <v>94.408779107990298</v>
      </c>
      <c r="BC29" s="85">
        <f t="shared" si="68"/>
        <v>3.6450471830069477</v>
      </c>
      <c r="BD29" s="85">
        <f t="shared" si="69"/>
        <v>2.8224371313845675</v>
      </c>
      <c r="BE29" s="85">
        <f t="shared" si="70"/>
        <v>100</v>
      </c>
      <c r="BF29" s="84">
        <f t="shared" si="71"/>
        <v>61.60143200890856</v>
      </c>
      <c r="BG29" s="85">
        <f t="shared" si="72"/>
        <v>0.22400270342370698</v>
      </c>
      <c r="BH29" s="85">
        <f t="shared" si="73"/>
        <v>14.512205793338744</v>
      </c>
      <c r="BI29" s="85">
        <f t="shared" si="74"/>
        <v>3.8462036330135567</v>
      </c>
      <c r="BJ29" s="85">
        <f t="shared" si="75"/>
        <v>2.9781968253503934</v>
      </c>
      <c r="BK29" s="85">
        <f t="shared" si="76"/>
        <v>0.11777277604113545</v>
      </c>
      <c r="BL29" s="85">
        <f t="shared" si="77"/>
        <v>6.2951479816861209</v>
      </c>
      <c r="BM29" s="85">
        <f t="shared" si="78"/>
        <v>6.848955475953173</v>
      </c>
      <c r="BN29" s="85">
        <f t="shared" si="79"/>
        <v>2.5622534674005406</v>
      </c>
      <c r="BO29" s="85">
        <f t="shared" si="80"/>
        <v>0.98666109887657694</v>
      </c>
      <c r="BP29" s="85">
        <f t="shared" si="81"/>
        <v>2.716823600750265E-2</v>
      </c>
      <c r="BQ29" s="85">
        <f t="shared" si="82"/>
        <v>100</v>
      </c>
      <c r="BR29" s="85"/>
      <c r="BS29" s="82">
        <f>AR29/Weights!$B$5*2+AS29/Weights!$B$7*2+AT29/Weights!$B$8*3+'Data and calc.'!BC29/Weights!$B$20*3+'Data and calc.'!BD29/Weights!$B$10+'Data and calc.'!AV29/Weights!$B$11+'Data and calc.'!AW29/Weights!$B$13+'Data and calc.'!AX29/Weights!$B$14+'Data and calc.'!AY29/Weights!$B$15+AZ29/Weights!$B$16+B29/Weights!$B$19+'Data and calc.'!BA29/Weights!$B$6*5</f>
        <v>3.0667158040335885</v>
      </c>
      <c r="BT29" s="84">
        <f>AR29/Weights!$B$5*8/'Data and calc.'!$BS29</f>
        <v>2.5346998265046379</v>
      </c>
      <c r="BU29" s="85">
        <f>AS29/Weights!$B$7*8/'Data and calc.'!$BS29</f>
        <v>6.9340041950310153E-3</v>
      </c>
      <c r="BV29" s="85">
        <f>AT29/Weights!$B$8*8/'Data and calc.'!$BS29*2</f>
        <v>0.70375356128218658</v>
      </c>
      <c r="BW29" s="85">
        <f>BC29/Weights!$B$20*8/'Data and calc.'!$BS29*2</f>
        <v>0.11909130211476218</v>
      </c>
      <c r="BX29" s="85">
        <f>BD29/Weights!$B$10*8/'Data and calc.'!$BS29</f>
        <v>0.10248262205958561</v>
      </c>
      <c r="BY29" s="85">
        <f>AV29/Weights!$B$11*8/'Data and calc.'!$BS29</f>
        <v>4.1044896151616328E-3</v>
      </c>
      <c r="BZ29" s="85">
        <f>AW29/Weights!$B$13*8/'Data and calc.'!$BS29</f>
        <v>0.38614030013076789</v>
      </c>
      <c r="CA29" s="85">
        <f>AX29/Weights!$B$14*8/'Data and calc.'!$BS29</f>
        <v>0.30194435002050196</v>
      </c>
      <c r="CB29" s="85">
        <f>AY29/Weights!$B$15*8/'Data and calc.'!$BS29*2</f>
        <v>0.20440809464627144</v>
      </c>
      <c r="CC29" s="85">
        <f>AZ29/Weights!$B$16*8/'Data and calc.'!$BS29*2</f>
        <v>5.1791050582547592E-2</v>
      </c>
      <c r="CD29" s="85">
        <f>BA29/Weights!$B$6*8/'Data and calc.'!$BS29*2</f>
        <v>9.4637834304954764E-4</v>
      </c>
      <c r="CE29" s="85">
        <f>B29/Weights!$B$19*8/'Data and calc.'!$BS29*2</f>
        <v>1.5146555264143782</v>
      </c>
      <c r="CF29" s="85">
        <f t="shared" si="83"/>
        <v>13.457914776386472</v>
      </c>
      <c r="CG29" s="85">
        <f t="shared" si="84"/>
        <v>0.75556585573685509</v>
      </c>
      <c r="CH29" s="85">
        <f t="shared" si="101"/>
        <v>0.34296965906432481</v>
      </c>
      <c r="CI29" s="85">
        <f>AR29/Weights!$B$5*2+AS29/Weights!$B$7*2+AT29/Weights!$B$8*3+'Data and calc.'!BC29/Weights!$B$20*3+'Data and calc.'!BD29/Weights!$B$10+'Data and calc.'!AV29/Weights!$B$11+'Data and calc.'!AW29/Weights!$B$13+'Data and calc.'!AX29/Weights!$B$14+'Data and calc.'!AY29/Weights!$B$15+AZ29/Weights!$B$16+'Data and calc.'!BA29/Weights!$B$6*5</f>
        <v>2.7764021765009765</v>
      </c>
      <c r="CJ29" s="84">
        <f>AR29/Weights!$B$5*8/'Data and calc.'!$CI29</f>
        <v>2.7997399232049744</v>
      </c>
      <c r="CK29" s="85">
        <f>AS29/Weights!$B$7*8/'Data and calc.'!$CI29</f>
        <v>7.659056180735326E-3</v>
      </c>
      <c r="CL29" s="85">
        <f>AT29/Weights!$B$8*8/'Data and calc.'!$CI29*2</f>
        <v>0.77734133289325458</v>
      </c>
      <c r="CM29" s="85">
        <f>BC29/Weights!$B$20*8/'Data and calc.'!$CI29*2</f>
        <v>0.13154404697180996</v>
      </c>
      <c r="CN29" s="85">
        <f>BD29/Weights!$B$10*8/'Data and calc.'!$CI29</f>
        <v>0.11319868546746975</v>
      </c>
      <c r="CO29" s="85">
        <f>AV29/Weights!$B$11*8/'Data and calc.'!$CI29</f>
        <v>4.5336742914426596E-3</v>
      </c>
      <c r="CP29" s="85">
        <f>AW29/Weights!$B$13*8/'Data and calc.'!$CI29</f>
        <v>0.4265169401637956</v>
      </c>
      <c r="CQ29" s="85">
        <f>AX29/Weights!$B$14*8/'Data and calc.'!$CI29</f>
        <v>0.33351706679379822</v>
      </c>
      <c r="CR29" s="85">
        <f>AY29/Weights!$B$15*8/'Data and calc.'!$CI29*2</f>
        <v>0.2257819633011996</v>
      </c>
      <c r="CS29" s="85">
        <f>AZ29/Weights!$B$16*8/'Data and calc.'!$CI29*2</f>
        <v>5.7206565631341202E-2</v>
      </c>
      <c r="CT29" s="85">
        <f>BA29/Weights!$B$6*8/'Data and calc.'!$CI29*2</f>
        <v>1.0453360992832906E-3</v>
      </c>
      <c r="CU29" s="85">
        <f t="shared" si="85"/>
        <v>8.0000000000000018</v>
      </c>
      <c r="CV29" s="85">
        <f t="shared" si="86"/>
        <v>14.865137437003098</v>
      </c>
      <c r="CW29" s="85">
        <f t="shared" si="87"/>
        <v>0.30537559919814578</v>
      </c>
      <c r="CX29" s="113"/>
      <c r="CY29" s="90">
        <f t="shared" si="88"/>
        <v>5.0851513298396392E-2</v>
      </c>
      <c r="CZ29" s="91">
        <f t="shared" si="89"/>
        <v>4.8390769442568002</v>
      </c>
      <c r="DA29" s="85">
        <f t="shared" si="90"/>
        <v>-0.39092305574320019</v>
      </c>
      <c r="DB29" s="85">
        <f t="shared" si="91"/>
        <v>0.39092305574320019</v>
      </c>
      <c r="DC29" s="85">
        <f t="shared" si="92"/>
        <v>0.15282083551160119</v>
      </c>
      <c r="DD29" s="117"/>
      <c r="DE29" s="97"/>
      <c r="DF29" s="91">
        <f t="shared" si="93"/>
        <v>4.8483310693408566</v>
      </c>
      <c r="DG29" s="85">
        <f t="shared" si="94"/>
        <v>-0.38166893065914387</v>
      </c>
      <c r="DH29" s="85">
        <f t="shared" si="95"/>
        <v>0.38166893065914387</v>
      </c>
      <c r="DI29" s="85">
        <f t="shared" si="109"/>
        <v>0.14567117263049437</v>
      </c>
      <c r="DK29" s="117"/>
      <c r="DL29" s="99">
        <f>'Eq. 3 coef.'!$B$15+'Eq. 3 coef.'!$B$16*'Data and calc.'!G29^2+'Eq. 3 coef.'!$B$17*'Data and calc.'!G29+'Eq. 3 coef.'!$B$18*'Data and calc.'!BF29+'Eq. 3 coef.'!$B$19*'Data and calc.'!BG29+'Eq. 3 coef.'!$B$20*'Data and calc.'!BH29+'Eq. 3 coef.'!$B$21*'Data and calc.'!BI29+'Eq. 3 coef.'!$B$22*'Data and calc.'!BJ29+'Eq. 3 coef.'!$B$23*'Data and calc.'!BK29+'Eq. 3 coef.'!$B$24*'Data and calc.'!BL29+'Eq. 3 coef.'!$B$25*'Data and calc.'!BM29+'Eq. 3 coef.'!$B$26*'Data and calc.'!BN29+'Eq. 3 coef.'!$B$27*'Data and calc.'!BO29+'Eq. 3 coef.'!$B$28*'Data and calc.'!BP29</f>
        <v>4.9319973064113469</v>
      </c>
      <c r="DM29" s="85">
        <f t="shared" si="96"/>
        <v>-0.2980026935886535</v>
      </c>
      <c r="DN29" s="85">
        <f t="shared" si="97"/>
        <v>0.2980026935886535</v>
      </c>
      <c r="DO29" s="85">
        <f t="shared" si="33"/>
        <v>8.8805605386092903E-2</v>
      </c>
      <c r="DP29" s="117"/>
      <c r="DQ29" s="99">
        <f>'Eq. 4 coef.'!$B$15+'Eq. 4 coef.'!$B$16*'Data and calc.'!G29^2+'Eq. 4 coef.'!$B$17*'Data and calc.'!G29+'Eq. 4 coef.'!$B$18*'Data and calc.'!O29+'Eq. 4 coef.'!$B$19*'Data and calc.'!P29+'Eq. 4 coef.'!$B$20*'Data and calc.'!Q29+'Eq. 4 coef.'!$B$21*'Data and calc.'!R29+'Eq. 4 coef.'!$B$22*'Data and calc.'!S29+'Eq. 4 coef.'!$B$23*'Data and calc.'!T29+'Eq. 4 coef.'!$B$24*'Data and calc.'!U29+'Eq. 4 coef.'!$B$25*'Data and calc.'!V29+'Eq. 4 coef.'!$B$26*'Data and calc.'!W29+'Eq. 4 coef.'!$B$27*'Data and calc.'!X29</f>
        <v>4.885262233099894</v>
      </c>
      <c r="DR29" s="85">
        <f t="shared" si="98"/>
        <v>-0.34473776690010638</v>
      </c>
      <c r="DS29" s="85">
        <f t="shared" si="99"/>
        <v>0.34473776690010638</v>
      </c>
      <c r="DT29" s="85">
        <f t="shared" si="100"/>
        <v>0.11884412792727209</v>
      </c>
    </row>
    <row r="30" spans="1:124" ht="15" x14ac:dyDescent="0.2">
      <c r="A30" s="66" t="s">
        <v>181</v>
      </c>
      <c r="B30" s="73">
        <v>4.42</v>
      </c>
      <c r="C30" s="73">
        <v>0.14000000000000001</v>
      </c>
      <c r="D30" s="126">
        <f t="shared" si="40"/>
        <v>3.1674208144796383</v>
      </c>
      <c r="E30" s="72">
        <f t="shared" si="41"/>
        <v>4.6243984097091441E-2</v>
      </c>
      <c r="F30" s="64">
        <f t="shared" si="42"/>
        <v>34.641264603555392</v>
      </c>
      <c r="G30" s="73">
        <v>5.8856830192897229</v>
      </c>
      <c r="H30" s="73">
        <v>7.7446046942733132E-2</v>
      </c>
      <c r="I30" s="126">
        <f t="shared" si="106"/>
        <v>1.3158378847265755</v>
      </c>
      <c r="J30" s="70">
        <v>1125</v>
      </c>
      <c r="K30" s="70">
        <v>200</v>
      </c>
      <c r="L30" s="73">
        <v>0.9197654332616384</v>
      </c>
      <c r="M30" s="70">
        <v>2.2999999999999998</v>
      </c>
      <c r="N30" s="64">
        <f t="shared" si="43"/>
        <v>2.2273541676714745</v>
      </c>
      <c r="O30" s="76">
        <v>61.837127507034637</v>
      </c>
      <c r="P30" s="73">
        <v>0.22485976838215474</v>
      </c>
      <c r="Q30" s="73">
        <v>14.56773147613252</v>
      </c>
      <c r="R30" s="73">
        <v>6.4678978799176239</v>
      </c>
      <c r="S30" s="73">
        <v>0.11822339077864175</v>
      </c>
      <c r="T30" s="73">
        <v>6.3192340782415748</v>
      </c>
      <c r="U30" s="73">
        <v>6.8751605156722917</v>
      </c>
      <c r="V30" s="73">
        <v>2.572056999357994</v>
      </c>
      <c r="W30" s="73">
        <v>0.99043619909093072</v>
      </c>
      <c r="X30" s="73">
        <v>2.7272185391634968E-2</v>
      </c>
      <c r="Y30" s="73">
        <f t="shared" si="107"/>
        <v>100.00000000000001</v>
      </c>
      <c r="Z30" s="73">
        <v>3.5624931984489248</v>
      </c>
      <c r="AA30" s="73">
        <v>1.1922271288331645</v>
      </c>
      <c r="AB30" s="59">
        <f t="shared" si="44"/>
        <v>3.7178936764523773</v>
      </c>
      <c r="AC30" s="60">
        <f t="shared" si="45"/>
        <v>3.1184441173479147</v>
      </c>
      <c r="AD30" s="57">
        <f t="shared" si="46"/>
        <v>100.36843991388267</v>
      </c>
      <c r="AE30" s="57"/>
      <c r="AF30" s="57">
        <f t="shared" si="47"/>
        <v>59.103926471223701</v>
      </c>
      <c r="AG30" s="57">
        <f t="shared" si="48"/>
        <v>0.21492096661966351</v>
      </c>
      <c r="AH30" s="57">
        <f t="shared" si="49"/>
        <v>13.923837744887463</v>
      </c>
      <c r="AI30" s="57">
        <f t="shared" si="50"/>
        <v>6.182016793625265</v>
      </c>
      <c r="AJ30" s="57">
        <f t="shared" si="51"/>
        <v>0.11299791690622579</v>
      </c>
      <c r="AK30" s="57">
        <f t="shared" si="52"/>
        <v>6.0399239319832976</v>
      </c>
      <c r="AL30" s="57">
        <f t="shared" si="53"/>
        <v>6.5712784208795769</v>
      </c>
      <c r="AM30" s="57">
        <f t="shared" si="54"/>
        <v>2.4583720799863706</v>
      </c>
      <c r="AN30" s="57">
        <f t="shared" si="55"/>
        <v>0.94665891909111155</v>
      </c>
      <c r="AO30" s="57">
        <f t="shared" si="56"/>
        <v>2.6066754797324704E-2</v>
      </c>
      <c r="AP30" s="57">
        <f t="shared" si="57"/>
        <v>95.58</v>
      </c>
      <c r="AQ30" s="57"/>
      <c r="AR30" s="84">
        <f t="shared" si="58"/>
        <v>58.886963394006706</v>
      </c>
      <c r="AS30" s="85">
        <f t="shared" si="59"/>
        <v>0.21413201879402358</v>
      </c>
      <c r="AT30" s="85">
        <f t="shared" si="60"/>
        <v>13.872725088518147</v>
      </c>
      <c r="AU30" s="85">
        <f t="shared" si="61"/>
        <v>6.159323387839355</v>
      </c>
      <c r="AV30" s="85">
        <f t="shared" si="62"/>
        <v>0.1125831157714311</v>
      </c>
      <c r="AW30" s="85">
        <f t="shared" si="63"/>
        <v>6.0177521312133821</v>
      </c>
      <c r="AX30" s="85">
        <f t="shared" si="64"/>
        <v>6.5471560846395667</v>
      </c>
      <c r="AY30" s="85">
        <f t="shared" si="65"/>
        <v>2.4493477054098713</v>
      </c>
      <c r="AZ30" s="85">
        <f t="shared" si="66"/>
        <v>0.9431838533142054</v>
      </c>
      <c r="BA30" s="85">
        <f t="shared" si="67"/>
        <v>2.5971067020360478E-2</v>
      </c>
      <c r="BB30" s="85">
        <f t="shared" si="108"/>
        <v>95.229137846527067</v>
      </c>
      <c r="BC30" s="85">
        <f t="shared" si="68"/>
        <v>3.5405180941361465</v>
      </c>
      <c r="BD30" s="85">
        <f t="shared" si="69"/>
        <v>2.969667447176159</v>
      </c>
      <c r="BE30" s="85">
        <f t="shared" si="70"/>
        <v>100.00000000000003</v>
      </c>
      <c r="BF30" s="84">
        <f t="shared" si="71"/>
        <v>61.610131192725163</v>
      </c>
      <c r="BG30" s="85">
        <f t="shared" si="72"/>
        <v>0.2240343364658125</v>
      </c>
      <c r="BH30" s="85">
        <f t="shared" si="73"/>
        <v>14.5142551668949</v>
      </c>
      <c r="BI30" s="85">
        <f t="shared" si="74"/>
        <v>3.7042457565768432</v>
      </c>
      <c r="BJ30" s="85">
        <f t="shared" si="75"/>
        <v>3.1069967013770232</v>
      </c>
      <c r="BK30" s="85">
        <f t="shared" si="76"/>
        <v>0.11778940758676616</v>
      </c>
      <c r="BL30" s="85">
        <f t="shared" si="77"/>
        <v>6.2960369650694519</v>
      </c>
      <c r="BM30" s="85">
        <f t="shared" si="78"/>
        <v>6.8499226664988138</v>
      </c>
      <c r="BN30" s="85">
        <f t="shared" si="79"/>
        <v>2.5626153017470927</v>
      </c>
      <c r="BO30" s="85">
        <f t="shared" si="80"/>
        <v>0.98680043242750104</v>
      </c>
      <c r="BP30" s="85">
        <f t="shared" si="81"/>
        <v>2.7172072630634522E-2</v>
      </c>
      <c r="BQ30" s="85">
        <f t="shared" si="82"/>
        <v>100</v>
      </c>
      <c r="BR30" s="85"/>
      <c r="BS30" s="82">
        <f>AR30/Weights!$B$5*2+AS30/Weights!$B$7*2+AT30/Weights!$B$8*3+'Data and calc.'!BC30/Weights!$B$20*3+'Data and calc.'!BD30/Weights!$B$10+'Data and calc.'!AV30/Weights!$B$11+'Data and calc.'!AW30/Weights!$B$13+'Data and calc.'!AX30/Weights!$B$14+'Data and calc.'!AY30/Weights!$B$15+AZ30/Weights!$B$16+B30/Weights!$B$19+'Data and calc.'!BA30/Weights!$B$6*5</f>
        <v>3.0450277664503593</v>
      </c>
      <c r="BT30" s="84">
        <f>AR30/Weights!$B$5*8/'Data and calc.'!$BS30</f>
        <v>2.5749350585517612</v>
      </c>
      <c r="BU30" s="85">
        <f>AS30/Weights!$B$7*8/'Data and calc.'!$BS30</f>
        <v>7.0440729553968261E-3</v>
      </c>
      <c r="BV30" s="85">
        <f>AT30/Weights!$B$8*8/'Data and calc.'!$BS30*2</f>
        <v>0.7149247806692276</v>
      </c>
      <c r="BW30" s="85">
        <f>BC30/Weights!$B$20*8/'Data and calc.'!$BS30*2</f>
        <v>0.1165000151249624</v>
      </c>
      <c r="BX30" s="85">
        <f>BD30/Weights!$B$10*8/'Data and calc.'!$BS30</f>
        <v>0.10859655390576302</v>
      </c>
      <c r="BY30" s="85">
        <f>AV30/Weights!$B$11*8/'Data and calc.'!$BS30</f>
        <v>4.1696433230579925E-3</v>
      </c>
      <c r="BZ30" s="85">
        <f>AW30/Weights!$B$13*8/'Data and calc.'!$BS30</f>
        <v>0.39226980091663882</v>
      </c>
      <c r="CA30" s="85">
        <f>AX30/Weights!$B$14*8/'Data and calc.'!$BS30</f>
        <v>0.30673734399215735</v>
      </c>
      <c r="CB30" s="85">
        <f>AY30/Weights!$B$15*8/'Data and calc.'!$BS30*2</f>
        <v>0.20765282091894594</v>
      </c>
      <c r="CC30" s="85">
        <f>AZ30/Weights!$B$16*8/'Data and calc.'!$BS30*2</f>
        <v>5.2613169602860416E-2</v>
      </c>
      <c r="CD30" s="85">
        <f>BA30/Weights!$B$6*8/'Data and calc.'!$BS30*2</f>
        <v>9.6140093145974219E-4</v>
      </c>
      <c r="CE30" s="85">
        <f>B30/Weights!$B$19*8/'Data and calc.'!$BS30*2</f>
        <v>1.2891894071344598</v>
      </c>
      <c r="CF30" s="85">
        <f t="shared" si="83"/>
        <v>13.653615709205392</v>
      </c>
      <c r="CG30" s="85">
        <f t="shared" si="84"/>
        <v>0.68740305594294848</v>
      </c>
      <c r="CH30" s="85">
        <f t="shared" si="101"/>
        <v>0.2873546870107952</v>
      </c>
      <c r="CI30" s="85">
        <f>AR30/Weights!$B$5*2+AS30/Weights!$B$7*2+AT30/Weights!$B$8*3+'Data and calc.'!BC30/Weights!$B$20*3+'Data and calc.'!BD30/Weights!$B$10+'Data and calc.'!AV30/Weights!$B$11+'Data and calc.'!AW30/Weights!$B$13+'Data and calc.'!AX30/Weights!$B$14+'Data and calc.'!AY30/Weights!$B$15+AZ30/Weights!$B$16+'Data and calc.'!BA30/Weights!$B$6*5</f>
        <v>2.7996766701417277</v>
      </c>
      <c r="CJ30" s="84">
        <f>AR30/Weights!$B$5*8/'Data and calc.'!$CI30</f>
        <v>2.8005908088306759</v>
      </c>
      <c r="CK30" s="85">
        <f>AS30/Weights!$B$7*8/'Data and calc.'!$CI30</f>
        <v>7.6613838900902618E-3</v>
      </c>
      <c r="CL30" s="85">
        <f>AT30/Weights!$B$8*8/'Data and calc.'!$CI30*2</f>
        <v>0.77757757932491078</v>
      </c>
      <c r="CM30" s="85">
        <f>BC30/Weights!$B$20*8/'Data and calc.'!$CI30*2</f>
        <v>0.12670955351049129</v>
      </c>
      <c r="CN30" s="85">
        <f>BD30/Weights!$B$10*8/'Data and calc.'!$CI30</f>
        <v>0.11811346842674218</v>
      </c>
      <c r="CO30" s="85">
        <f>AV30/Weights!$B$11*8/'Data and calc.'!$CI30</f>
        <v>4.5350521473835727E-3</v>
      </c>
      <c r="CP30" s="85">
        <f>AW30/Weights!$B$13*8/'Data and calc.'!$CI30</f>
        <v>0.42664656546595153</v>
      </c>
      <c r="CQ30" s="85">
        <f>AX30/Weights!$B$14*8/'Data and calc.'!$CI30</f>
        <v>0.33361842795085028</v>
      </c>
      <c r="CR30" s="85">
        <f>AY30/Weights!$B$15*8/'Data and calc.'!$CI30*2</f>
        <v>0.22585058204164879</v>
      </c>
      <c r="CS30" s="85">
        <f>AZ30/Weights!$B$16*8/'Data and calc.'!$CI30*2</f>
        <v>5.722395161922815E-2</v>
      </c>
      <c r="CT30" s="85">
        <f>BA30/Weights!$B$6*8/'Data and calc.'!$CI30*2</f>
        <v>1.0456537935996572E-3</v>
      </c>
      <c r="CU30" s="85">
        <f t="shared" si="85"/>
        <v>8</v>
      </c>
      <c r="CV30" s="85">
        <f t="shared" si="86"/>
        <v>14.850157302224671</v>
      </c>
      <c r="CW30" s="85">
        <f t="shared" si="87"/>
        <v>0.30971865802473975</v>
      </c>
      <c r="CX30" s="113"/>
      <c r="CY30" s="90">
        <f t="shared" si="88"/>
        <v>4.7005730796084513E-2</v>
      </c>
      <c r="CZ30" s="91">
        <f t="shared" si="89"/>
        <v>4.4895390171688927</v>
      </c>
      <c r="DA30" s="85">
        <f t="shared" si="90"/>
        <v>6.9539017168892769E-2</v>
      </c>
      <c r="DB30" s="85">
        <f t="shared" si="91"/>
        <v>6.9539017168892769E-2</v>
      </c>
      <c r="DC30" s="85">
        <f t="shared" si="92"/>
        <v>4.8356749088155635E-3</v>
      </c>
      <c r="DD30" s="117"/>
      <c r="DE30" s="97"/>
      <c r="DF30" s="91">
        <f t="shared" si="93"/>
        <v>4.5011865511544471</v>
      </c>
      <c r="DG30" s="85">
        <f t="shared" si="94"/>
        <v>8.1186551154447173E-2</v>
      </c>
      <c r="DH30" s="85">
        <f t="shared" si="95"/>
        <v>8.1186551154447173E-2</v>
      </c>
      <c r="DI30" s="85">
        <f t="shared" si="109"/>
        <v>6.5912560883536675E-3</v>
      </c>
      <c r="DK30" s="117"/>
      <c r="DL30" s="99">
        <f>'Eq. 3 coef.'!$B$15+'Eq. 3 coef.'!$B$16*'Data and calc.'!G30^2+'Eq. 3 coef.'!$B$17*'Data and calc.'!G30+'Eq. 3 coef.'!$B$18*'Data and calc.'!BF30+'Eq. 3 coef.'!$B$19*'Data and calc.'!BG30+'Eq. 3 coef.'!$B$20*'Data and calc.'!BH30+'Eq. 3 coef.'!$B$21*'Data and calc.'!BI30+'Eq. 3 coef.'!$B$22*'Data and calc.'!BJ30+'Eq. 3 coef.'!$B$23*'Data and calc.'!BK30+'Eq. 3 coef.'!$B$24*'Data and calc.'!BL30+'Eq. 3 coef.'!$B$25*'Data and calc.'!BM30+'Eq. 3 coef.'!$B$26*'Data and calc.'!BN30+'Eq. 3 coef.'!$B$27*'Data and calc.'!BO30+'Eq. 3 coef.'!$B$28*'Data and calc.'!BP30</f>
        <v>4.5922305249940791</v>
      </c>
      <c r="DM30" s="85">
        <f t="shared" si="96"/>
        <v>0.1722305249940792</v>
      </c>
      <c r="DN30" s="85">
        <f t="shared" si="97"/>
        <v>0.1722305249940792</v>
      </c>
      <c r="DO30" s="85">
        <f t="shared" si="33"/>
        <v>2.966335373973614E-2</v>
      </c>
      <c r="DP30" s="117"/>
      <c r="DQ30" s="99">
        <f>'Eq. 4 coef.'!$B$15+'Eq. 4 coef.'!$B$16*'Data and calc.'!G30^2+'Eq. 4 coef.'!$B$17*'Data and calc.'!G30+'Eq. 4 coef.'!$B$18*'Data and calc.'!O30+'Eq. 4 coef.'!$B$19*'Data and calc.'!P30+'Eq. 4 coef.'!$B$20*'Data and calc.'!Q30+'Eq. 4 coef.'!$B$21*'Data and calc.'!R30+'Eq. 4 coef.'!$B$22*'Data and calc.'!S30+'Eq. 4 coef.'!$B$23*'Data and calc.'!T30+'Eq. 4 coef.'!$B$24*'Data and calc.'!U30+'Eq. 4 coef.'!$B$25*'Data and calc.'!V30+'Eq. 4 coef.'!$B$26*'Data and calc.'!W30+'Eq. 4 coef.'!$B$27*'Data and calc.'!X30</f>
        <v>4.5437838347391164</v>
      </c>
      <c r="DR30" s="85">
        <f t="shared" si="98"/>
        <v>0.12378383473911647</v>
      </c>
      <c r="DS30" s="85">
        <f t="shared" si="99"/>
        <v>0.12378383473911647</v>
      </c>
      <c r="DT30" s="85">
        <f t="shared" si="100"/>
        <v>1.5322437742720898E-2</v>
      </c>
    </row>
    <row r="31" spans="1:124" ht="15" x14ac:dyDescent="0.2">
      <c r="A31" s="66" t="s">
        <v>182</v>
      </c>
      <c r="B31" s="73">
        <v>4.4400000000000004</v>
      </c>
      <c r="C31" s="73">
        <v>0.14000000000000001</v>
      </c>
      <c r="D31" s="126">
        <f t="shared" si="40"/>
        <v>3.1531531531531534</v>
      </c>
      <c r="E31" s="72">
        <f t="shared" si="41"/>
        <v>4.646295521138552E-2</v>
      </c>
      <c r="F31" s="64">
        <f t="shared" si="42"/>
        <v>28.2528297778974</v>
      </c>
      <c r="G31" s="73">
        <v>5.3153391028134225</v>
      </c>
      <c r="H31" s="73">
        <v>0.10333163757213641</v>
      </c>
      <c r="I31" s="126">
        <f t="shared" si="106"/>
        <v>1.9440271932498665</v>
      </c>
      <c r="J31" s="70">
        <v>1130</v>
      </c>
      <c r="K31" s="70">
        <v>200</v>
      </c>
      <c r="L31" s="73">
        <v>0.93901516124047246</v>
      </c>
      <c r="M31" s="70">
        <v>2.2999999999999998</v>
      </c>
      <c r="N31" s="64">
        <f t="shared" si="43"/>
        <v>2.2453452087919019</v>
      </c>
      <c r="O31" s="76">
        <v>61.837127507034637</v>
      </c>
      <c r="P31" s="73">
        <v>0.22485976838215474</v>
      </c>
      <c r="Q31" s="73">
        <v>14.56773147613252</v>
      </c>
      <c r="R31" s="73">
        <v>6.4678978799176239</v>
      </c>
      <c r="S31" s="73">
        <v>0.11822339077864175</v>
      </c>
      <c r="T31" s="73">
        <v>6.3192340782415748</v>
      </c>
      <c r="U31" s="73">
        <v>6.8751605156722917</v>
      </c>
      <c r="V31" s="73">
        <v>2.572056999357994</v>
      </c>
      <c r="W31" s="73">
        <v>0.99043619909093072</v>
      </c>
      <c r="X31" s="73">
        <v>2.7272185391634968E-2</v>
      </c>
      <c r="Y31" s="73">
        <f t="shared" si="107"/>
        <v>100.00000000000001</v>
      </c>
      <c r="Z31" s="73">
        <v>3.5624931984489248</v>
      </c>
      <c r="AA31" s="73">
        <v>1.21240818945258</v>
      </c>
      <c r="AB31" s="59">
        <f t="shared" si="44"/>
        <v>3.7479728830976455</v>
      </c>
      <c r="AC31" s="60">
        <f t="shared" si="45"/>
        <v>3.0913457329828082</v>
      </c>
      <c r="AD31" s="57">
        <f t="shared" si="46"/>
        <v>100.37142073616282</v>
      </c>
      <c r="AE31" s="57"/>
      <c r="AF31" s="57">
        <f t="shared" si="47"/>
        <v>59.091559045722299</v>
      </c>
      <c r="AG31" s="57">
        <f t="shared" si="48"/>
        <v>0.21487599466598706</v>
      </c>
      <c r="AH31" s="57">
        <f t="shared" si="49"/>
        <v>13.920924198592235</v>
      </c>
      <c r="AI31" s="57">
        <f t="shared" si="50"/>
        <v>6.1807232140492818</v>
      </c>
      <c r="AJ31" s="57">
        <f t="shared" si="51"/>
        <v>0.11297427222807005</v>
      </c>
      <c r="AK31" s="57">
        <f t="shared" si="52"/>
        <v>6.0386600851676482</v>
      </c>
      <c r="AL31" s="57">
        <f t="shared" si="53"/>
        <v>6.5699033887764422</v>
      </c>
      <c r="AM31" s="57">
        <f t="shared" si="54"/>
        <v>2.4578576685864992</v>
      </c>
      <c r="AN31" s="57">
        <f t="shared" si="55"/>
        <v>0.94646083185129337</v>
      </c>
      <c r="AO31" s="57">
        <f t="shared" si="56"/>
        <v>2.6061300360246377E-2</v>
      </c>
      <c r="AP31" s="57">
        <f t="shared" si="57"/>
        <v>95.56</v>
      </c>
      <c r="AQ31" s="57"/>
      <c r="AR31" s="84">
        <f t="shared" si="58"/>
        <v>58.872892913462763</v>
      </c>
      <c r="AS31" s="85">
        <f t="shared" si="59"/>
        <v>0.21408085398214294</v>
      </c>
      <c r="AT31" s="85">
        <f t="shared" si="60"/>
        <v>13.869410332633327</v>
      </c>
      <c r="AU31" s="85">
        <f t="shared" si="61"/>
        <v>6.1578516760223847</v>
      </c>
      <c r="AV31" s="85">
        <f t="shared" si="62"/>
        <v>0.11255621510532884</v>
      </c>
      <c r="AW31" s="85">
        <f t="shared" si="63"/>
        <v>6.0163142465034172</v>
      </c>
      <c r="AX31" s="85">
        <f t="shared" si="64"/>
        <v>6.545591703883666</v>
      </c>
      <c r="AY31" s="85">
        <f t="shared" si="65"/>
        <v>2.4487624570416759</v>
      </c>
      <c r="AZ31" s="85">
        <f t="shared" si="66"/>
        <v>0.942958488491628</v>
      </c>
      <c r="BA31" s="85">
        <f t="shared" si="67"/>
        <v>2.596486148059151E-2</v>
      </c>
      <c r="BB31" s="85">
        <f t="shared" si="108"/>
        <v>95.206383748606925</v>
      </c>
      <c r="BC31" s="85">
        <f t="shared" si="68"/>
        <v>3.5683094458756712</v>
      </c>
      <c r="BD31" s="85">
        <f t="shared" si="69"/>
        <v>2.9431584815397982</v>
      </c>
      <c r="BE31" s="85">
        <f t="shared" si="70"/>
        <v>100</v>
      </c>
      <c r="BF31" s="84">
        <f t="shared" si="71"/>
        <v>61.608301500065679</v>
      </c>
      <c r="BG31" s="85">
        <f t="shared" si="72"/>
        <v>0.2240276831123304</v>
      </c>
      <c r="BH31" s="85">
        <f t="shared" si="73"/>
        <v>14.513824123726796</v>
      </c>
      <c r="BI31" s="85">
        <f t="shared" si="74"/>
        <v>3.7341036478397562</v>
      </c>
      <c r="BJ31" s="85">
        <f t="shared" si="75"/>
        <v>3.0799063222475911</v>
      </c>
      <c r="BK31" s="85">
        <f t="shared" si="76"/>
        <v>0.11778590948653081</v>
      </c>
      <c r="BL31" s="85">
        <f t="shared" si="77"/>
        <v>6.2958499858763259</v>
      </c>
      <c r="BM31" s="85">
        <f t="shared" si="78"/>
        <v>6.8497192380532299</v>
      </c>
      <c r="BN31" s="85">
        <f t="shared" si="79"/>
        <v>2.5625391974065255</v>
      </c>
      <c r="BO31" s="85">
        <f t="shared" si="80"/>
        <v>0.98677112650861021</v>
      </c>
      <c r="BP31" s="85">
        <f t="shared" si="81"/>
        <v>2.7171265676634058E-2</v>
      </c>
      <c r="BQ31" s="85">
        <f t="shared" si="82"/>
        <v>100.00000000000001</v>
      </c>
      <c r="BR31" s="85"/>
      <c r="BS31" s="82">
        <f>AR31/Weights!$B$5*2+AS31/Weights!$B$7*2+AT31/Weights!$B$8*3+'Data and calc.'!BC31/Weights!$B$20*3+'Data and calc.'!BD31/Weights!$B$10+'Data and calc.'!AV31/Weights!$B$11+'Data and calc.'!AW31/Weights!$B$13+'Data and calc.'!AX31/Weights!$B$14+'Data and calc.'!AY31/Weights!$B$15+AZ31/Weights!$B$16+B31/Weights!$B$19+'Data and calc.'!BA31/Weights!$B$6*5</f>
        <v>3.0456478956263409</v>
      </c>
      <c r="BT31" s="84">
        <f>AR31/Weights!$B$5*8/'Data and calc.'!$BS31</f>
        <v>2.5737956409596272</v>
      </c>
      <c r="BU31" s="85">
        <f>AS31/Weights!$B$7*8/'Data and calc.'!$BS31</f>
        <v>7.0409559289619271E-3</v>
      </c>
      <c r="BV31" s="85">
        <f>AT31/Weights!$B$8*8/'Data and calc.'!$BS31*2</f>
        <v>0.71460842400250646</v>
      </c>
      <c r="BW31" s="85">
        <f>BC31/Weights!$B$20*8/'Data and calc.'!$BS31*2</f>
        <v>0.11739057685371911</v>
      </c>
      <c r="BX31" s="85">
        <f>BD31/Weights!$B$10*8/'Data and calc.'!$BS31</f>
        <v>0.10760524425130792</v>
      </c>
      <c r="BY31" s="85">
        <f>AV31/Weights!$B$11*8/'Data and calc.'!$BS31</f>
        <v>4.1677982415910114E-3</v>
      </c>
      <c r="BZ31" s="85">
        <f>AW31/Weights!$B$13*8/'Data and calc.'!$BS31</f>
        <v>0.39209622018475093</v>
      </c>
      <c r="CA31" s="85">
        <f>AX31/Weights!$B$14*8/'Data and calc.'!$BS31</f>
        <v>0.30660161166572519</v>
      </c>
      <c r="CB31" s="85">
        <f>AY31/Weights!$B$15*8/'Data and calc.'!$BS31*2</f>
        <v>0.20756093383370647</v>
      </c>
      <c r="CC31" s="85">
        <f>AZ31/Weights!$B$16*8/'Data and calc.'!$BS31*2</f>
        <v>5.2589888094915466E-2</v>
      </c>
      <c r="CD31" s="85">
        <f>BA31/Weights!$B$6*8/'Data and calc.'!$BS31*2</f>
        <v>9.6097550825119914E-4</v>
      </c>
      <c r="CE31" s="85">
        <f>B31/Weights!$B$19*8/'Data and calc.'!$BS31*2</f>
        <v>1.2947591617203371</v>
      </c>
      <c r="CF31" s="85">
        <f t="shared" si="83"/>
        <v>13.651342390979259</v>
      </c>
      <c r="CG31" s="85">
        <f t="shared" si="84"/>
        <v>0.68818363550026329</v>
      </c>
      <c r="CH31" s="85">
        <f t="shared" si="101"/>
        <v>0.28872399582331176</v>
      </c>
      <c r="CI31" s="85">
        <f>AR31/Weights!$B$5*2+AS31/Weights!$B$7*2+AT31/Weights!$B$8*3+'Data and calc.'!BC31/Weights!$B$20*3+'Data and calc.'!BD31/Weights!$B$10+'Data and calc.'!AV31/Weights!$B$11+'Data and calc.'!AW31/Weights!$B$13+'Data and calc.'!AX31/Weights!$B$14+'Data and calc.'!AY31/Weights!$B$15+AZ31/Weights!$B$16+'Data and calc.'!BA31/Weights!$B$6*5</f>
        <v>2.7991866133615613</v>
      </c>
      <c r="CJ31" s="84">
        <f>AR31/Weights!$B$5*8/'Data and calc.'!$CI31</f>
        <v>2.8004118197204373</v>
      </c>
      <c r="CK31" s="85">
        <f>AS31/Weights!$B$7*8/'Data and calc.'!$CI31</f>
        <v>7.6608942418769773E-3</v>
      </c>
      <c r="CL31" s="85">
        <f>AT31/Weights!$B$8*8/'Data and calc.'!$CI31*2</f>
        <v>0.77752788341123935</v>
      </c>
      <c r="CM31" s="85">
        <f>BC31/Weights!$B$20*8/'Data and calc.'!$CI31*2</f>
        <v>0.12772651943041816</v>
      </c>
      <c r="CN31" s="85">
        <f>BD31/Weights!$B$10*8/'Data and calc.'!$CI31</f>
        <v>0.11707961310903245</v>
      </c>
      <c r="CO31" s="85">
        <f>AV31/Weights!$B$11*8/'Data and calc.'!$CI31</f>
        <v>4.5347623067734473E-3</v>
      </c>
      <c r="CP31" s="85">
        <f>AW31/Weights!$B$13*8/'Data and calc.'!$CI31</f>
        <v>0.42661929797335735</v>
      </c>
      <c r="CQ31" s="85">
        <f>AX31/Weights!$B$14*8/'Data and calc.'!$CI31</f>
        <v>0.33359710599785747</v>
      </c>
      <c r="CR31" s="85">
        <f>AY31/Weights!$B$15*8/'Data and calc.'!$CI31*2</f>
        <v>0.22583614766066068</v>
      </c>
      <c r="CS31" s="85">
        <f>AZ31/Weights!$B$16*8/'Data and calc.'!$CI31*2</f>
        <v>5.722029436799661E-2</v>
      </c>
      <c r="CT31" s="85">
        <f>BA31/Weights!$B$6*8/'Data and calc.'!$CI31*2</f>
        <v>1.0455869646143075E-3</v>
      </c>
      <c r="CU31" s="85">
        <f t="shared" si="85"/>
        <v>8</v>
      </c>
      <c r="CV31" s="85">
        <f t="shared" si="86"/>
        <v>14.853308467215887</v>
      </c>
      <c r="CW31" s="85">
        <f t="shared" si="87"/>
        <v>0.30880434088205511</v>
      </c>
      <c r="CX31" s="113"/>
      <c r="CY31" s="90">
        <f t="shared" si="88"/>
        <v>4.2095069675223563E-2</v>
      </c>
      <c r="CZ31" s="91">
        <f t="shared" si="89"/>
        <v>4.0394653904602773</v>
      </c>
      <c r="DA31" s="85">
        <f t="shared" si="90"/>
        <v>-0.40053460953972309</v>
      </c>
      <c r="DB31" s="85">
        <f t="shared" si="91"/>
        <v>0.40053460953972309</v>
      </c>
      <c r="DC31" s="85">
        <f t="shared" si="92"/>
        <v>0.16042797343913842</v>
      </c>
      <c r="DD31" s="117"/>
      <c r="DE31" s="97"/>
      <c r="DF31" s="91">
        <f t="shared" si="93"/>
        <v>4.052925206543839</v>
      </c>
      <c r="DG31" s="85">
        <f t="shared" si="94"/>
        <v>-0.38707479345616136</v>
      </c>
      <c r="DH31" s="85">
        <f t="shared" si="95"/>
        <v>0.38707479345616136</v>
      </c>
      <c r="DI31" s="85">
        <f t="shared" si="109"/>
        <v>0.14982689572912997</v>
      </c>
      <c r="DK31" s="117"/>
      <c r="DL31" s="99">
        <f>'Eq. 3 coef.'!$B$15+'Eq. 3 coef.'!$B$16*'Data and calc.'!G31^2+'Eq. 3 coef.'!$B$17*'Data and calc.'!G31+'Eq. 3 coef.'!$B$18*'Data and calc.'!BF31+'Eq. 3 coef.'!$B$19*'Data and calc.'!BG31+'Eq. 3 coef.'!$B$20*'Data and calc.'!BH31+'Eq. 3 coef.'!$B$21*'Data and calc.'!BI31+'Eq. 3 coef.'!$B$22*'Data and calc.'!BJ31+'Eq. 3 coef.'!$B$23*'Data and calc.'!BK31+'Eq. 3 coef.'!$B$24*'Data and calc.'!BL31+'Eq. 3 coef.'!$B$25*'Data and calc.'!BM31+'Eq. 3 coef.'!$B$26*'Data and calc.'!BN31+'Eq. 3 coef.'!$B$27*'Data and calc.'!BO31+'Eq. 3 coef.'!$B$28*'Data and calc.'!BP31</f>
        <v>4.1436640500600106</v>
      </c>
      <c r="DM31" s="85">
        <f t="shared" si="96"/>
        <v>-0.2963359499399898</v>
      </c>
      <c r="DN31" s="85">
        <f t="shared" si="97"/>
        <v>0.2963359499399898</v>
      </c>
      <c r="DO31" s="85">
        <f t="shared" si="33"/>
        <v>8.781499522683614E-2</v>
      </c>
      <c r="DP31" s="117"/>
      <c r="DQ31" s="99">
        <f>'Eq. 4 coef.'!$B$15+'Eq. 4 coef.'!$B$16*'Data and calc.'!G31^2+'Eq. 4 coef.'!$B$17*'Data and calc.'!G31+'Eq. 4 coef.'!$B$18*'Data and calc.'!O31+'Eq. 4 coef.'!$B$19*'Data and calc.'!P31+'Eq. 4 coef.'!$B$20*'Data and calc.'!Q31+'Eq. 4 coef.'!$B$21*'Data and calc.'!R31+'Eq. 4 coef.'!$B$22*'Data and calc.'!S31+'Eq. 4 coef.'!$B$23*'Data and calc.'!T31+'Eq. 4 coef.'!$B$24*'Data and calc.'!U31+'Eq. 4 coef.'!$B$25*'Data and calc.'!V31+'Eq. 4 coef.'!$B$26*'Data and calc.'!W31+'Eq. 4 coef.'!$B$27*'Data and calc.'!X31</f>
        <v>4.1024940378959229</v>
      </c>
      <c r="DR31" s="85">
        <f t="shared" si="98"/>
        <v>-0.33750596210407746</v>
      </c>
      <c r="DS31" s="85">
        <f t="shared" si="99"/>
        <v>0.33750596210407746</v>
      </c>
      <c r="DT31" s="85">
        <f t="shared" si="100"/>
        <v>0.11391027445579897</v>
      </c>
    </row>
    <row r="32" spans="1:124" ht="15" x14ac:dyDescent="0.2">
      <c r="A32" s="66" t="s">
        <v>609</v>
      </c>
      <c r="B32" s="73">
        <v>5.47</v>
      </c>
      <c r="C32" s="73">
        <v>0.13</v>
      </c>
      <c r="D32" s="126">
        <f t="shared" si="40"/>
        <v>2.376599634369287</v>
      </c>
      <c r="E32" s="72">
        <f t="shared" si="41"/>
        <v>5.7865227969956627E-2</v>
      </c>
      <c r="F32" s="64">
        <f t="shared" si="42"/>
        <v>52.931903376813239</v>
      </c>
      <c r="G32" s="73">
        <v>7.2754314907648769</v>
      </c>
      <c r="H32" s="73">
        <v>0.10597931951782114</v>
      </c>
      <c r="I32" s="126">
        <f t="shared" si="106"/>
        <v>1.4566740083024186</v>
      </c>
      <c r="J32" s="70">
        <v>1115</v>
      </c>
      <c r="K32" s="70">
        <v>500</v>
      </c>
      <c r="L32" s="73">
        <v>0.73081369508892913</v>
      </c>
      <c r="M32" s="70">
        <v>2.2999999999999998</v>
      </c>
      <c r="N32" s="64">
        <f t="shared" si="43"/>
        <v>2.0276133544431629</v>
      </c>
      <c r="O32" s="76">
        <v>61.837127507034637</v>
      </c>
      <c r="P32" s="73">
        <v>0.22485976838215474</v>
      </c>
      <c r="Q32" s="73">
        <v>14.56773147613252</v>
      </c>
      <c r="R32" s="73">
        <v>6.4678978799176239</v>
      </c>
      <c r="S32" s="73">
        <v>0.11822339077864175</v>
      </c>
      <c r="T32" s="73">
        <v>6.3192340782415748</v>
      </c>
      <c r="U32" s="73">
        <v>6.8751605156722917</v>
      </c>
      <c r="V32" s="73">
        <v>2.572056999357994</v>
      </c>
      <c r="W32" s="73">
        <v>0.99043619909093072</v>
      </c>
      <c r="X32" s="73">
        <v>2.7272185391634968E-2</v>
      </c>
      <c r="Y32" s="73">
        <f t="shared" ref="Y32:Y41" si="110">SUM(O32:X32)</f>
        <v>100.00000000000001</v>
      </c>
      <c r="Z32" s="73">
        <v>3.5624931984489248</v>
      </c>
      <c r="AA32" s="73">
        <v>1.1567380736551698</v>
      </c>
      <c r="AB32" s="59">
        <f t="shared" si="44"/>
        <v>3.6636993226069547</v>
      </c>
      <c r="AC32" s="60">
        <f t="shared" si="45"/>
        <v>3.1672678595509982</v>
      </c>
      <c r="AD32" s="57">
        <f t="shared" si="46"/>
        <v>100.36306930224033</v>
      </c>
      <c r="AE32" s="57"/>
      <c r="AF32" s="57">
        <f t="shared" si="47"/>
        <v>58.45463663239984</v>
      </c>
      <c r="AG32" s="57">
        <f t="shared" si="48"/>
        <v>0.21255993905165088</v>
      </c>
      <c r="AH32" s="57">
        <f t="shared" si="49"/>
        <v>13.770876564388072</v>
      </c>
      <c r="AI32" s="57">
        <f t="shared" si="50"/>
        <v>6.1141038658861291</v>
      </c>
      <c r="AJ32" s="57">
        <f t="shared" si="51"/>
        <v>0.11175657130305006</v>
      </c>
      <c r="AK32" s="57">
        <f t="shared" si="52"/>
        <v>5.9735719741617608</v>
      </c>
      <c r="AL32" s="57">
        <f t="shared" si="53"/>
        <v>6.4990892354650178</v>
      </c>
      <c r="AM32" s="57">
        <f t="shared" si="54"/>
        <v>2.4313654814931116</v>
      </c>
      <c r="AN32" s="57">
        <f t="shared" si="55"/>
        <v>0.93625933900065694</v>
      </c>
      <c r="AO32" s="57">
        <f t="shared" si="56"/>
        <v>2.5780396850712536E-2</v>
      </c>
      <c r="AP32" s="57">
        <f t="shared" si="57"/>
        <v>94.529999999999987</v>
      </c>
      <c r="AQ32" s="57"/>
      <c r="AR32" s="84">
        <f t="shared" si="58"/>
        <v>58.243173548594335</v>
      </c>
      <c r="AS32" s="85">
        <f t="shared" si="59"/>
        <v>0.21179099097849735</v>
      </c>
      <c r="AT32" s="85">
        <f t="shared" si="60"/>
        <v>13.721059609005675</v>
      </c>
      <c r="AU32" s="85">
        <f t="shared" si="61"/>
        <v>6.091985735782643</v>
      </c>
      <c r="AV32" s="85">
        <f t="shared" si="62"/>
        <v>0.11135228533764599</v>
      </c>
      <c r="AW32" s="85">
        <f t="shared" si="63"/>
        <v>5.9519622264366285</v>
      </c>
      <c r="AX32" s="85">
        <f t="shared" si="64"/>
        <v>6.4755783981587971</v>
      </c>
      <c r="AY32" s="85">
        <f t="shared" si="65"/>
        <v>2.4225698739554571</v>
      </c>
      <c r="AZ32" s="85">
        <f t="shared" si="66"/>
        <v>0.93287236581131283</v>
      </c>
      <c r="BA32" s="85">
        <f t="shared" si="67"/>
        <v>2.5687134749810863E-2</v>
      </c>
      <c r="BB32" s="85">
        <f>SUM(AR32:BA32)</f>
        <v>94.188032168810807</v>
      </c>
      <c r="BC32" s="85">
        <f t="shared" si="68"/>
        <v>3.4507662965455417</v>
      </c>
      <c r="BD32" s="85">
        <f t="shared" si="69"/>
        <v>2.9831872704262996</v>
      </c>
      <c r="BE32" s="85">
        <f t="shared" si="70"/>
        <v>100</v>
      </c>
      <c r="BF32" s="84">
        <f t="shared" si="71"/>
        <v>61.613428063677489</v>
      </c>
      <c r="BG32" s="85">
        <f t="shared" si="72"/>
        <v>0.22404632495345114</v>
      </c>
      <c r="BH32" s="85">
        <f t="shared" si="73"/>
        <v>14.515031851270152</v>
      </c>
      <c r="BI32" s="85">
        <f t="shared" si="74"/>
        <v>3.6504456749661922</v>
      </c>
      <c r="BJ32" s="85">
        <f t="shared" si="75"/>
        <v>3.1558100819065902</v>
      </c>
      <c r="BK32" s="85">
        <f t="shared" si="76"/>
        <v>0.11779571071368453</v>
      </c>
      <c r="BL32" s="85">
        <f t="shared" si="77"/>
        <v>6.2963738775379543</v>
      </c>
      <c r="BM32" s="85">
        <f t="shared" si="78"/>
        <v>6.8502892184055817</v>
      </c>
      <c r="BN32" s="85">
        <f t="shared" si="79"/>
        <v>2.5627524319850385</v>
      </c>
      <c r="BO32" s="85">
        <f t="shared" si="80"/>
        <v>0.98685323792585722</v>
      </c>
      <c r="BP32" s="85">
        <f t="shared" si="81"/>
        <v>2.7173526658003662E-2</v>
      </c>
      <c r="BQ32" s="85">
        <f t="shared" si="82"/>
        <v>99.999999999999986</v>
      </c>
      <c r="BR32" s="85"/>
      <c r="BS32" s="82">
        <f>AR32/Weights!$B$5*2+AS32/Weights!$B$7*2+AT32/Weights!$B$8*3+'Data and calc.'!BC32/Weights!$B$20*3+'Data and calc.'!BD32/Weights!$B$10+'Data and calc.'!AV32/Weights!$B$11+'Data and calc.'!AW32/Weights!$B$13+'Data and calc.'!AX32/Weights!$B$14+'Data and calc.'!AY32/Weights!$B$15+AZ32/Weights!$B$16+B32/Weights!$B$19+'Data and calc.'!BA32/Weights!$B$6*5</f>
        <v>3.0723857988421819</v>
      </c>
      <c r="BT32" s="84">
        <f>AR32/Weights!$B$5*8/'Data and calc.'!$BS32</f>
        <v>2.5241064082478091</v>
      </c>
      <c r="BU32" s="85">
        <f>AS32/Weights!$B$7*8/'Data and calc.'!$BS32</f>
        <v>6.9050245084170533E-3</v>
      </c>
      <c r="BV32" s="85">
        <f>AT32/Weights!$B$8*8/'Data and calc.'!$BS32*2</f>
        <v>0.70081232313381159</v>
      </c>
      <c r="BW32" s="85">
        <f>BC32/Weights!$B$20*8/'Data and calc.'!$BS32*2</f>
        <v>0.11253567475434365</v>
      </c>
      <c r="BX32" s="85">
        <f>BD32/Weights!$B$10*8/'Data and calc.'!$BS32</f>
        <v>0.10811955534099474</v>
      </c>
      <c r="BY32" s="85">
        <f>AV32/Weights!$B$11*8/'Data and calc.'!$BS32</f>
        <v>4.0873354832326554E-3</v>
      </c>
      <c r="BZ32" s="85">
        <f>AW32/Weights!$B$13*8/'Data and calc.'!$BS32</f>
        <v>0.38452648153878738</v>
      </c>
      <c r="CA32" s="85">
        <f>AX32/Weights!$B$14*8/'Data and calc.'!$BS32</f>
        <v>0.30068241645479671</v>
      </c>
      <c r="CB32" s="85">
        <f>AY32/Weights!$B$15*8/'Data and calc.'!$BS32*2</f>
        <v>0.20355380001973356</v>
      </c>
      <c r="CC32" s="85">
        <f>AZ32/Weights!$B$16*8/'Data and calc.'!$BS32*2</f>
        <v>5.1574597235668214E-2</v>
      </c>
      <c r="CD32" s="85">
        <f>BA32/Weights!$B$6*8/'Data and calc.'!$BS32*2</f>
        <v>9.4242308905367162E-4</v>
      </c>
      <c r="CE32" s="85">
        <f>B32/Weights!$B$19*8/'Data and calc.'!$BS32*2</f>
        <v>1.581238184974336</v>
      </c>
      <c r="CF32" s="85">
        <f t="shared" si="83"/>
        <v>13.377437722577527</v>
      </c>
      <c r="CG32" s="85">
        <f t="shared" si="84"/>
        <v>0.78417476703966738</v>
      </c>
      <c r="CH32" s="85">
        <f t="shared" si="101"/>
        <v>0.35954832676312948</v>
      </c>
      <c r="CI32" s="85">
        <f>AR32/Weights!$B$5*2+AS32/Weights!$B$7*2+AT32/Weights!$B$8*3+'Data and calc.'!BC32/Weights!$B$20*3+'Data and calc.'!BD32/Weights!$B$10+'Data and calc.'!AV32/Weights!$B$11+'Data and calc.'!AW32/Weights!$B$13+'Data and calc.'!AX32/Weights!$B$14+'Data and calc.'!AY32/Weights!$B$15+AZ32/Weights!$B$16+'Data and calc.'!BA32/Weights!$B$6*5</f>
        <v>2.7687499398357982</v>
      </c>
      <c r="CJ32" s="84">
        <f>AR32/Weights!$B$5*8/'Data and calc.'!$CI32</f>
        <v>2.8009133551175913</v>
      </c>
      <c r="CK32" s="85">
        <f>AS32/Weights!$B$7*8/'Data and calc.'!$CI32</f>
        <v>7.6622662578101691E-3</v>
      </c>
      <c r="CL32" s="85">
        <f>AT32/Weights!$B$8*8/'Data and calc.'!$CI32*2</f>
        <v>0.77766713355761397</v>
      </c>
      <c r="CM32" s="85">
        <f>BC32/Weights!$B$20*8/'Data and calc.'!$CI32*2</f>
        <v>0.12487693597886745</v>
      </c>
      <c r="CN32" s="85">
        <f>BD32/Weights!$B$10*8/'Data and calc.'!$CI32</f>
        <v>0.11997652139958294</v>
      </c>
      <c r="CO32" s="85">
        <f>AV32/Weights!$B$11*8/'Data and calc.'!$CI32</f>
        <v>4.5355744529722705E-3</v>
      </c>
      <c r="CP32" s="85">
        <f>AW32/Weights!$B$13*8/'Data and calc.'!$CI32</f>
        <v>0.42669570269266899</v>
      </c>
      <c r="CQ32" s="85">
        <f>AX32/Weights!$B$14*8/'Data and calc.'!$CI32</f>
        <v>0.33365685105244836</v>
      </c>
      <c r="CR32" s="85">
        <f>AY32/Weights!$B$15*8/'Data and calc.'!$CI32*2</f>
        <v>0.22587659343410413</v>
      </c>
      <c r="CS32" s="85">
        <f>AZ32/Weights!$B$16*8/'Data and calc.'!$CI32*2</f>
        <v>5.7230542147576405E-2</v>
      </c>
      <c r="CT32" s="85">
        <f>BA32/Weights!$B$6*8/'Data and calc.'!$CI32*2</f>
        <v>1.0457742223847055E-3</v>
      </c>
      <c r="CU32" s="85">
        <f t="shared" si="85"/>
        <v>8.0000000000000018</v>
      </c>
      <c r="CV32" s="85">
        <f t="shared" si="86"/>
        <v>14.844478763647531</v>
      </c>
      <c r="CW32" s="85">
        <f t="shared" si="87"/>
        <v>0.3113672779625542</v>
      </c>
      <c r="CX32" s="113"/>
      <c r="CY32" s="90">
        <f t="shared" si="88"/>
        <v>5.8971465135485589E-2</v>
      </c>
      <c r="CZ32" s="91">
        <f t="shared" si="89"/>
        <v>5.5687492134588101</v>
      </c>
      <c r="DA32" s="85">
        <f t="shared" si="90"/>
        <v>9.8749213458810381E-2</v>
      </c>
      <c r="DB32" s="85">
        <f t="shared" si="91"/>
        <v>9.8749213458810381E-2</v>
      </c>
      <c r="DC32" s="85">
        <f t="shared" si="92"/>
        <v>9.7514071587336965E-3</v>
      </c>
      <c r="DD32" s="117"/>
      <c r="DE32" s="97"/>
      <c r="DF32" s="91">
        <f t="shared" si="93"/>
        <v>5.5700043050616577</v>
      </c>
      <c r="DG32" s="85">
        <f t="shared" si="94"/>
        <v>0.10000430506165792</v>
      </c>
      <c r="DH32" s="85">
        <f t="shared" si="95"/>
        <v>0.10000430506165792</v>
      </c>
      <c r="DI32" s="85">
        <f>DG32^2</f>
        <v>1.0000861030865138E-2</v>
      </c>
      <c r="DK32" s="117"/>
      <c r="DL32" s="99">
        <f>'Eq. 3 coef.'!$B$15+'Eq. 3 coef.'!$B$16*'Data and calc.'!G32^2+'Eq. 3 coef.'!$B$17*'Data and calc.'!G32+'Eq. 3 coef.'!$B$18*'Data and calc.'!BF32+'Eq. 3 coef.'!$B$19*'Data and calc.'!BG32+'Eq. 3 coef.'!$B$20*'Data and calc.'!BH32+'Eq. 3 coef.'!$B$21*'Data and calc.'!BI32+'Eq. 3 coef.'!$B$22*'Data and calc.'!BJ32+'Eq. 3 coef.'!$B$23*'Data and calc.'!BK32+'Eq. 3 coef.'!$B$24*'Data and calc.'!BL32+'Eq. 3 coef.'!$B$25*'Data and calc.'!BM32+'Eq. 3 coef.'!$B$26*'Data and calc.'!BN32+'Eq. 3 coef.'!$B$27*'Data and calc.'!BO32+'Eq. 3 coef.'!$B$28*'Data and calc.'!BP32</f>
        <v>5.6485465069696374</v>
      </c>
      <c r="DM32" s="85">
        <f t="shared" si="96"/>
        <v>0.1785465069696377</v>
      </c>
      <c r="DN32" s="85">
        <f t="shared" si="97"/>
        <v>0.1785465069696377</v>
      </c>
      <c r="DO32" s="85">
        <f t="shared" si="33"/>
        <v>3.1878855151058885E-2</v>
      </c>
      <c r="DP32" s="117"/>
      <c r="DQ32" s="99">
        <f>'Eq. 4 coef.'!$B$15+'Eq. 4 coef.'!$B$16*'Data and calc.'!G32^2+'Eq. 4 coef.'!$B$17*'Data and calc.'!G32+'Eq. 4 coef.'!$B$18*'Data and calc.'!O32+'Eq. 4 coef.'!$B$19*'Data and calc.'!P32+'Eq. 4 coef.'!$B$20*'Data and calc.'!Q32+'Eq. 4 coef.'!$B$21*'Data and calc.'!R32+'Eq. 4 coef.'!$B$22*'Data and calc.'!S32+'Eq. 4 coef.'!$B$23*'Data and calc.'!T32+'Eq. 4 coef.'!$B$24*'Data and calc.'!U32+'Eq. 4 coef.'!$B$25*'Data and calc.'!V32+'Eq. 4 coef.'!$B$26*'Data and calc.'!W32+'Eq. 4 coef.'!$B$27*'Data and calc.'!X32</f>
        <v>5.5943766916282414</v>
      </c>
      <c r="DR32" s="85">
        <f t="shared" si="98"/>
        <v>0.12437669162824161</v>
      </c>
      <c r="DS32" s="85">
        <f t="shared" si="99"/>
        <v>0.12437669162824161</v>
      </c>
      <c r="DT32" s="85">
        <f t="shared" si="100"/>
        <v>1.5469561420386706E-2</v>
      </c>
    </row>
    <row r="33" spans="1:125" ht="15" x14ac:dyDescent="0.2">
      <c r="A33" s="66" t="s">
        <v>610</v>
      </c>
      <c r="B33" s="73">
        <v>3.73</v>
      </c>
      <c r="C33" s="73">
        <v>0.11</v>
      </c>
      <c r="D33" s="126">
        <f t="shared" si="40"/>
        <v>2.9490616621983916</v>
      </c>
      <c r="E33" s="72">
        <f t="shared" si="41"/>
        <v>3.8745195803469412E-2</v>
      </c>
      <c r="F33" s="64">
        <f t="shared" si="42"/>
        <v>18.885876333979205</v>
      </c>
      <c r="G33" s="73">
        <v>4.3457883443604572</v>
      </c>
      <c r="H33" s="73">
        <v>6.3390049821071215E-2</v>
      </c>
      <c r="I33" s="126">
        <f t="shared" si="106"/>
        <v>1.4586547893740081</v>
      </c>
      <c r="J33" s="70">
        <v>1180</v>
      </c>
      <c r="K33" s="70">
        <v>500</v>
      </c>
      <c r="L33" s="73">
        <v>0.46560423473596202</v>
      </c>
      <c r="M33" s="70">
        <v>2.2999999999999998</v>
      </c>
      <c r="N33" s="64">
        <f t="shared" si="43"/>
        <v>1.6360338432583077</v>
      </c>
      <c r="O33" s="76">
        <v>61.837127507034637</v>
      </c>
      <c r="P33" s="73">
        <v>0.22485976838215474</v>
      </c>
      <c r="Q33" s="73">
        <v>14.56773147613252</v>
      </c>
      <c r="R33" s="73">
        <v>6.4678978799176239</v>
      </c>
      <c r="S33" s="73">
        <v>0.11822339077864175</v>
      </c>
      <c r="T33" s="73">
        <v>6.3192340782415748</v>
      </c>
      <c r="U33" s="73">
        <v>6.8751605156722917</v>
      </c>
      <c r="V33" s="73">
        <v>2.572056999357994</v>
      </c>
      <c r="W33" s="73">
        <v>0.99043619909093072</v>
      </c>
      <c r="X33" s="73">
        <v>2.7272185391634968E-2</v>
      </c>
      <c r="Y33" s="73">
        <f t="shared" si="110"/>
        <v>100.00000000000001</v>
      </c>
      <c r="Z33" s="73">
        <v>3.5624931984489248</v>
      </c>
      <c r="AA33" s="73">
        <v>0.86277855092045386</v>
      </c>
      <c r="AB33" s="59">
        <f t="shared" si="44"/>
        <v>3.1398372357017856</v>
      </c>
      <c r="AC33" s="60">
        <f t="shared" si="45"/>
        <v>3.6392156855916911</v>
      </c>
      <c r="AD33" s="57">
        <f t="shared" si="46"/>
        <v>100.31115504137586</v>
      </c>
      <c r="AE33" s="57"/>
      <c r="AF33" s="57">
        <f t="shared" si="47"/>
        <v>59.530602651022242</v>
      </c>
      <c r="AG33" s="57">
        <f t="shared" si="48"/>
        <v>0.21647249902150037</v>
      </c>
      <c r="AH33" s="57">
        <f t="shared" si="49"/>
        <v>14.024355092072776</v>
      </c>
      <c r="AI33" s="57">
        <f t="shared" si="50"/>
        <v>6.2266452889966963</v>
      </c>
      <c r="AJ33" s="57">
        <f t="shared" si="51"/>
        <v>0.1138136583025984</v>
      </c>
      <c r="AK33" s="57">
        <f t="shared" si="52"/>
        <v>6.0835266471231639</v>
      </c>
      <c r="AL33" s="57">
        <f t="shared" si="53"/>
        <v>6.6187170284377146</v>
      </c>
      <c r="AM33" s="57">
        <f t="shared" si="54"/>
        <v>2.4761192732819408</v>
      </c>
      <c r="AN33" s="57">
        <f t="shared" si="55"/>
        <v>0.95349292886483894</v>
      </c>
      <c r="AO33" s="57">
        <f t="shared" si="56"/>
        <v>2.6254932876526981E-2</v>
      </c>
      <c r="AP33" s="57">
        <f t="shared" si="57"/>
        <v>96.27</v>
      </c>
      <c r="AQ33" s="57"/>
      <c r="AR33" s="84">
        <f t="shared" si="58"/>
        <v>59.34594475207404</v>
      </c>
      <c r="AS33" s="85">
        <f t="shared" si="59"/>
        <v>0.21580102325829151</v>
      </c>
      <c r="AT33" s="85">
        <f t="shared" si="60"/>
        <v>13.980852963250276</v>
      </c>
      <c r="AU33" s="85">
        <f t="shared" si="61"/>
        <v>6.2073308660720343</v>
      </c>
      <c r="AV33" s="85">
        <f t="shared" si="62"/>
        <v>0.11346061986391553</v>
      </c>
      <c r="AW33" s="85">
        <f t="shared" si="63"/>
        <v>6.064656163727614</v>
      </c>
      <c r="AX33" s="85">
        <f t="shared" si="64"/>
        <v>6.5981864386943387</v>
      </c>
      <c r="AY33" s="85">
        <f t="shared" si="65"/>
        <v>2.4684386021281512</v>
      </c>
      <c r="AZ33" s="85">
        <f t="shared" si="66"/>
        <v>0.95053529038873774</v>
      </c>
      <c r="BA33" s="85">
        <f t="shared" si="67"/>
        <v>2.6173492734379817E-2</v>
      </c>
      <c r="BB33" s="85">
        <f>SUM(AR33:BA33)</f>
        <v>95.971380212191804</v>
      </c>
      <c r="BC33" s="85">
        <f t="shared" si="68"/>
        <v>3.0133451315193325</v>
      </c>
      <c r="BD33" s="85">
        <f t="shared" si="69"/>
        <v>3.4926055223609231</v>
      </c>
      <c r="BE33" s="85">
        <f t="shared" si="70"/>
        <v>100.00000000000003</v>
      </c>
      <c r="BF33" s="84">
        <f t="shared" si="71"/>
        <v>61.645315001635026</v>
      </c>
      <c r="BG33" s="85">
        <f t="shared" si="72"/>
        <v>0.22416227615902309</v>
      </c>
      <c r="BH33" s="85">
        <f t="shared" si="73"/>
        <v>14.522543848810924</v>
      </c>
      <c r="BI33" s="85">
        <f t="shared" si="74"/>
        <v>3.1300977786634805</v>
      </c>
      <c r="BJ33" s="85">
        <f t="shared" si="75"/>
        <v>3.6279272071890762</v>
      </c>
      <c r="BK33" s="85">
        <f t="shared" si="76"/>
        <v>0.11785667379652597</v>
      </c>
      <c r="BL33" s="85">
        <f t="shared" si="77"/>
        <v>6.2996324542719577</v>
      </c>
      <c r="BM33" s="85">
        <f t="shared" si="78"/>
        <v>6.8538344642093483</v>
      </c>
      <c r="BN33" s="85">
        <f t="shared" si="79"/>
        <v>2.5640787390964488</v>
      </c>
      <c r="BO33" s="85">
        <f t="shared" si="80"/>
        <v>0.98736396633295709</v>
      </c>
      <c r="BP33" s="85">
        <f t="shared" si="81"/>
        <v>2.7187589835234047E-2</v>
      </c>
      <c r="BQ33" s="85">
        <f t="shared" si="82"/>
        <v>100</v>
      </c>
      <c r="BR33" s="85"/>
      <c r="BS33" s="82">
        <f>AR33/Weights!$B$5*2+AS33/Weights!$B$7*2+AT33/Weights!$B$8*3+'Data and calc.'!BC33/Weights!$B$20*3+'Data and calc.'!BD33/Weights!$B$10+'Data and calc.'!AV33/Weights!$B$11+'Data and calc.'!AW33/Weights!$B$13+'Data and calc.'!AX33/Weights!$B$14+'Data and calc.'!AY33/Weights!$B$15+AZ33/Weights!$B$16+B33/Weights!$B$19+'Data and calc.'!BA33/Weights!$B$6*5</f>
        <v>3.0250821299452202</v>
      </c>
      <c r="BT33" s="84">
        <f>AR33/Weights!$B$5*8/'Data and calc.'!$BS33</f>
        <v>2.612114774230454</v>
      </c>
      <c r="BU33" s="85">
        <f>AS33/Weights!$B$7*8/'Data and calc.'!$BS33</f>
        <v>7.1457829495311731E-3</v>
      </c>
      <c r="BV33" s="85">
        <f>AT33/Weights!$B$8*8/'Data and calc.'!$BS33*2</f>
        <v>0.72524764298323241</v>
      </c>
      <c r="BW33" s="85">
        <f>BC33/Weights!$B$20*8/'Data and calc.'!$BS33*2</f>
        <v>9.9807258535612939E-2</v>
      </c>
      <c r="BX33" s="85">
        <f>BD33/Weights!$B$10*8/'Data and calc.'!$BS33</f>
        <v>0.12856177178433886</v>
      </c>
      <c r="BY33" s="85">
        <f>AV33/Weights!$B$11*8/'Data and calc.'!$BS33</f>
        <v>4.2298491728008786E-3</v>
      </c>
      <c r="BZ33" s="85">
        <f>AW33/Weights!$B$13*8/'Data and calc.'!$BS33</f>
        <v>0.39793381936206751</v>
      </c>
      <c r="CA33" s="85">
        <f>AX33/Weights!$B$14*8/'Data and calc.'!$BS33</f>
        <v>0.31116635170627033</v>
      </c>
      <c r="CB33" s="85">
        <f>AY33/Weights!$B$15*8/'Data and calc.'!$BS33*2</f>
        <v>0.21065113841670341</v>
      </c>
      <c r="CC33" s="85">
        <f>AZ33/Weights!$B$16*8/'Data and calc.'!$BS33*2</f>
        <v>5.3372855824962429E-2</v>
      </c>
      <c r="CD33" s="85">
        <f>BA33/Weights!$B$6*8/'Data and calc.'!$BS33*2</f>
        <v>9.7528268477472006E-4</v>
      </c>
      <c r="CE33" s="85">
        <f>B33/Weights!$B$19*8/'Data and calc.'!$BS33*2</f>
        <v>1.0951090750070285</v>
      </c>
      <c r="CF33" s="85">
        <f t="shared" si="83"/>
        <v>13.777261834795324</v>
      </c>
      <c r="CG33" s="85">
        <f t="shared" si="84"/>
        <v>0.64533524639591711</v>
      </c>
      <c r="CH33" s="85">
        <f t="shared" si="101"/>
        <v>0.2406195078939439</v>
      </c>
      <c r="CI33" s="85">
        <f>AR33/Weights!$B$5*2+AS33/Weights!$B$7*2+AT33/Weights!$B$8*3+'Data and calc.'!BC33/Weights!$B$20*3+'Data and calc.'!BD33/Weights!$B$10+'Data and calc.'!AV33/Weights!$B$11+'Data and calc.'!AW33/Weights!$B$13+'Data and calc.'!AX33/Weights!$B$14+'Data and calc.'!AY33/Weights!$B$15+AZ33/Weights!$B$16+'Data and calc.'!BA33/Weights!$B$6*5</f>
        <v>2.8180324491236828</v>
      </c>
      <c r="CJ33" s="84">
        <f>AR33/Weights!$B$5*8/'Data and calc.'!$CI33</f>
        <v>2.8040350377610679</v>
      </c>
      <c r="CK33" s="85">
        <f>AS33/Weights!$B$7*8/'Data and calc.'!$CI33</f>
        <v>7.6708060305750057E-3</v>
      </c>
      <c r="CL33" s="85">
        <f>AT33/Weights!$B$8*8/'Data and calc.'!$CI33*2</f>
        <v>0.77853386154432314</v>
      </c>
      <c r="CM33" s="85">
        <f>BC33/Weights!$B$20*8/'Data and calc.'!$CI33*2</f>
        <v>0.10714041079576433</v>
      </c>
      <c r="CN33" s="85">
        <f>BD33/Weights!$B$10*8/'Data and calc.'!$CI33</f>
        <v>0.1380076083012591</v>
      </c>
      <c r="CO33" s="85">
        <f>AV33/Weights!$B$11*8/'Data and calc.'!$CI33</f>
        <v>4.5406294554849935E-3</v>
      </c>
      <c r="CP33" s="85">
        <f>AW33/Weights!$B$13*8/'Data and calc.'!$CI33</f>
        <v>0.42717126491122459</v>
      </c>
      <c r="CQ33" s="85">
        <f>AX33/Weights!$B$14*8/'Data and calc.'!$CI33</f>
        <v>0.33402871932138428</v>
      </c>
      <c r="CR33" s="85">
        <f>AY33/Weights!$B$15*8/'Data and calc.'!$CI33*2</f>
        <v>0.22612833811588887</v>
      </c>
      <c r="CS33" s="85">
        <f>AZ33/Weights!$B$16*8/'Data and calc.'!$CI33*2</f>
        <v>5.7294326908990882E-2</v>
      </c>
      <c r="CT33" s="85">
        <f>BA33/Weights!$B$6*8/'Data and calc.'!$CI33*2</f>
        <v>1.0469397619159617E-3</v>
      </c>
      <c r="CU33" s="85">
        <f t="shared" si="85"/>
        <v>7.9999999999999991</v>
      </c>
      <c r="CV33" s="85">
        <f t="shared" si="86"/>
        <v>14.789520464526921</v>
      </c>
      <c r="CW33" s="85">
        <f t="shared" si="87"/>
        <v>0.32738844734728151</v>
      </c>
      <c r="CX33" s="113"/>
      <c r="CY33" s="90">
        <f t="shared" si="88"/>
        <v>3.3747237644943535E-2</v>
      </c>
      <c r="CZ33" s="91">
        <f t="shared" si="89"/>
        <v>3.2645540820815762</v>
      </c>
      <c r="DA33" s="85">
        <f t="shared" si="90"/>
        <v>-0.46544591791842382</v>
      </c>
      <c r="DB33" s="85">
        <f t="shared" si="91"/>
        <v>0.46544591791842382</v>
      </c>
      <c r="DC33" s="85">
        <f t="shared" si="92"/>
        <v>0.21663990250692414</v>
      </c>
      <c r="DD33" s="117"/>
      <c r="DE33" s="97"/>
      <c r="DF33" s="91">
        <f t="shared" si="93"/>
        <v>3.278052781944663</v>
      </c>
      <c r="DG33" s="85">
        <f t="shared" si="94"/>
        <v>-0.451947218055337</v>
      </c>
      <c r="DH33" s="85">
        <f t="shared" si="95"/>
        <v>0.451947218055337</v>
      </c>
      <c r="DI33" s="85">
        <f>DG33^2</f>
        <v>0.20425628790795833</v>
      </c>
      <c r="DK33" s="117"/>
      <c r="DL33" s="99">
        <f>'Eq. 3 coef.'!$B$15+'Eq. 3 coef.'!$B$16*'Data and calc.'!G33^2+'Eq. 3 coef.'!$B$17*'Data and calc.'!G33+'Eq. 3 coef.'!$B$18*'Data and calc.'!BF33+'Eq. 3 coef.'!$B$19*'Data and calc.'!BG33+'Eq. 3 coef.'!$B$20*'Data and calc.'!BH33+'Eq. 3 coef.'!$B$21*'Data and calc.'!BI33+'Eq. 3 coef.'!$B$22*'Data and calc.'!BJ33+'Eq. 3 coef.'!$B$23*'Data and calc.'!BK33+'Eq. 3 coef.'!$B$24*'Data and calc.'!BL33+'Eq. 3 coef.'!$B$25*'Data and calc.'!BM33+'Eq. 3 coef.'!$B$26*'Data and calc.'!BN33+'Eq. 3 coef.'!$B$27*'Data and calc.'!BO33+'Eq. 3 coef.'!$B$28*'Data and calc.'!BP33</f>
        <v>3.3831928640928481</v>
      </c>
      <c r="DM33" s="85">
        <f t="shared" si="96"/>
        <v>-0.34680713590715184</v>
      </c>
      <c r="DN33" s="85">
        <f t="shared" si="97"/>
        <v>0.34680713590715184</v>
      </c>
      <c r="DO33" s="85">
        <f t="shared" si="33"/>
        <v>0.12027518951612169</v>
      </c>
      <c r="DP33" s="117"/>
      <c r="DQ33" s="99">
        <f>'Eq. 4 coef.'!$B$15+'Eq. 4 coef.'!$B$16*'Data and calc.'!G33^2+'Eq. 4 coef.'!$B$17*'Data and calc.'!G33+'Eq. 4 coef.'!$B$18*'Data and calc.'!O33+'Eq. 4 coef.'!$B$19*'Data and calc.'!P33+'Eq. 4 coef.'!$B$20*'Data and calc.'!Q33+'Eq. 4 coef.'!$B$21*'Data and calc.'!R33+'Eq. 4 coef.'!$B$22*'Data and calc.'!S33+'Eq. 4 coef.'!$B$23*'Data and calc.'!T33+'Eq. 4 coef.'!$B$24*'Data and calc.'!U33+'Eq. 4 coef.'!$B$25*'Data and calc.'!V33+'Eq. 4 coef.'!$B$26*'Data and calc.'!W33+'Eq. 4 coef.'!$B$27*'Data and calc.'!X33</f>
        <v>3.3387946112309521</v>
      </c>
      <c r="DR33" s="85">
        <f t="shared" si="98"/>
        <v>-0.39120538876904787</v>
      </c>
      <c r="DS33" s="85">
        <f t="shared" si="99"/>
        <v>0.39120538876904787</v>
      </c>
      <c r="DT33" s="85">
        <f t="shared" si="100"/>
        <v>0.15304165620194188</v>
      </c>
    </row>
    <row r="34" spans="1:125" ht="15" x14ac:dyDescent="0.2">
      <c r="A34" s="66" t="s">
        <v>611</v>
      </c>
      <c r="B34" s="73">
        <v>4.95</v>
      </c>
      <c r="C34" s="73">
        <v>0.12</v>
      </c>
      <c r="D34" s="126">
        <f t="shared" si="40"/>
        <v>2.4242424242424243</v>
      </c>
      <c r="E34" s="72">
        <f t="shared" si="41"/>
        <v>5.2077853761178329E-2</v>
      </c>
      <c r="F34" s="64">
        <f t="shared" si="42"/>
        <v>41.208954223624616</v>
      </c>
      <c r="G34" s="73">
        <v>6.4194200846824643</v>
      </c>
      <c r="H34" s="73">
        <v>9.7786981832070768E-2</v>
      </c>
      <c r="I34" s="126">
        <f t="shared" si="106"/>
        <v>1.5232993096277136</v>
      </c>
      <c r="J34" s="70">
        <v>1130</v>
      </c>
      <c r="K34" s="70">
        <v>500</v>
      </c>
      <c r="L34" s="73">
        <v>0.65387288914143915</v>
      </c>
      <c r="M34" s="70">
        <v>2.2999999999999998</v>
      </c>
      <c r="N34" s="64">
        <f t="shared" si="43"/>
        <v>1.9309866620619469</v>
      </c>
      <c r="O34" s="76">
        <v>61.837127507034637</v>
      </c>
      <c r="P34" s="73">
        <v>0.22485976838215474</v>
      </c>
      <c r="Q34" s="73">
        <v>14.56773147613252</v>
      </c>
      <c r="R34" s="73">
        <v>6.4678978799176239</v>
      </c>
      <c r="S34" s="73">
        <v>0.11822339077864175</v>
      </c>
      <c r="T34" s="73">
        <v>6.3192340782415748</v>
      </c>
      <c r="U34" s="73">
        <v>6.8751605156722917</v>
      </c>
      <c r="V34" s="73">
        <v>2.572056999357994</v>
      </c>
      <c r="W34" s="73">
        <v>0.99043619909093072</v>
      </c>
      <c r="X34" s="73">
        <v>2.7272185391634968E-2</v>
      </c>
      <c r="Y34" s="73">
        <f t="shared" si="110"/>
        <v>100.00000000000001</v>
      </c>
      <c r="Z34" s="73">
        <v>3.5624931984489248</v>
      </c>
      <c r="AA34" s="73">
        <v>1.0765695383884126</v>
      </c>
      <c r="AB34" s="59">
        <f t="shared" si="44"/>
        <v>3.5348006551233868</v>
      </c>
      <c r="AC34" s="60">
        <f t="shared" si="45"/>
        <v>3.2833927852118703</v>
      </c>
      <c r="AD34" s="57">
        <f t="shared" si="46"/>
        <v>100.35029556041763</v>
      </c>
      <c r="AE34" s="57"/>
      <c r="AF34" s="57">
        <f t="shared" si="47"/>
        <v>58.776189695436422</v>
      </c>
      <c r="AG34" s="57">
        <f t="shared" si="48"/>
        <v>0.21372920984723809</v>
      </c>
      <c r="AH34" s="57">
        <f t="shared" si="49"/>
        <v>13.84662876806396</v>
      </c>
      <c r="AI34" s="57">
        <f t="shared" si="50"/>
        <v>6.147736934861701</v>
      </c>
      <c r="AJ34" s="57">
        <f t="shared" si="51"/>
        <v>0.11237133293509897</v>
      </c>
      <c r="AK34" s="57">
        <f t="shared" si="52"/>
        <v>6.0064319913686166</v>
      </c>
      <c r="AL34" s="57">
        <f t="shared" si="53"/>
        <v>6.5348400701465126</v>
      </c>
      <c r="AM34" s="57">
        <f t="shared" si="54"/>
        <v>2.4447401778897735</v>
      </c>
      <c r="AN34" s="57">
        <f t="shared" si="55"/>
        <v>0.9414096072359297</v>
      </c>
      <c r="AO34" s="57">
        <f t="shared" si="56"/>
        <v>2.5922212214749038E-2</v>
      </c>
      <c r="AP34" s="57">
        <f t="shared" si="57"/>
        <v>95.05</v>
      </c>
      <c r="AQ34" s="57"/>
      <c r="AR34" s="84">
        <f t="shared" si="58"/>
        <v>58.571018019622272</v>
      </c>
      <c r="AS34" s="85">
        <f t="shared" si="59"/>
        <v>0.21298313936560229</v>
      </c>
      <c r="AT34" s="85">
        <f t="shared" si="60"/>
        <v>13.798293956919498</v>
      </c>
      <c r="AU34" s="85">
        <f t="shared" si="61"/>
        <v>6.1262768590057117</v>
      </c>
      <c r="AV34" s="85">
        <f t="shared" si="62"/>
        <v>0.11197907520605543</v>
      </c>
      <c r="AW34" s="85">
        <f t="shared" si="63"/>
        <v>5.9854651725986594</v>
      </c>
      <c r="AX34" s="85">
        <f t="shared" si="64"/>
        <v>6.5120287226379912</v>
      </c>
      <c r="AY34" s="85">
        <f t="shared" si="65"/>
        <v>2.4362062555340209</v>
      </c>
      <c r="AZ34" s="85">
        <f t="shared" si="66"/>
        <v>0.9381234026053642</v>
      </c>
      <c r="BA34" s="85">
        <f t="shared" si="67"/>
        <v>2.5831724829492028E-2</v>
      </c>
      <c r="BB34" s="85">
        <f>SUM(AR34:BA34)</f>
        <v>94.718206328324669</v>
      </c>
      <c r="BC34" s="85">
        <f t="shared" si="68"/>
        <v>3.3480997778147414</v>
      </c>
      <c r="BD34" s="85">
        <f t="shared" si="69"/>
        <v>3.109970752866305</v>
      </c>
      <c r="BE34" s="85">
        <f t="shared" si="70"/>
        <v>100</v>
      </c>
      <c r="BF34" s="84">
        <f t="shared" si="71"/>
        <v>61.621270930691502</v>
      </c>
      <c r="BG34" s="85">
        <f t="shared" si="72"/>
        <v>0.22407484415108078</v>
      </c>
      <c r="BH34" s="85">
        <f t="shared" si="73"/>
        <v>14.516879491761701</v>
      </c>
      <c r="BI34" s="85">
        <f t="shared" si="74"/>
        <v>3.522461628421611</v>
      </c>
      <c r="BJ34" s="85">
        <f t="shared" si="75"/>
        <v>3.2719313549356182</v>
      </c>
      <c r="BK34" s="85">
        <f t="shared" si="76"/>
        <v>0.11781070510894838</v>
      </c>
      <c r="BL34" s="85">
        <f t="shared" si="77"/>
        <v>6.2971753525498784</v>
      </c>
      <c r="BM34" s="85">
        <f t="shared" si="78"/>
        <v>6.8511612021441257</v>
      </c>
      <c r="BN34" s="85">
        <f t="shared" si="79"/>
        <v>2.5630786486417896</v>
      </c>
      <c r="BO34" s="85">
        <f t="shared" si="80"/>
        <v>0.9869788559761854</v>
      </c>
      <c r="BP34" s="85">
        <f t="shared" si="81"/>
        <v>2.7176985617561312E-2</v>
      </c>
      <c r="BQ34" s="85">
        <f t="shared" si="82"/>
        <v>100</v>
      </c>
      <c r="BR34" s="85"/>
      <c r="BS34" s="82">
        <f>AR34/Weights!$B$5*2+AS34/Weights!$B$7*2+AT34/Weights!$B$8*3+'Data and calc.'!BC34/Weights!$B$20*3+'Data and calc.'!BD34/Weights!$B$10+'Data and calc.'!AV34/Weights!$B$11+'Data and calc.'!AW34/Weights!$B$13+'Data and calc.'!AX34/Weights!$B$14+'Data and calc.'!AY34/Weights!$B$15+AZ34/Weights!$B$16+B34/Weights!$B$19+'Data and calc.'!BA34/Weights!$B$6*5</f>
        <v>3.0583432474852805</v>
      </c>
      <c r="BT34" s="84">
        <f>AR34/Weights!$B$5*8/'Data and calc.'!$BS34</f>
        <v>2.549969137852222</v>
      </c>
      <c r="BU34" s="85">
        <f>AS34/Weights!$B$7*8/'Data and calc.'!$BS34</f>
        <v>6.9757754011644819E-3</v>
      </c>
      <c r="BV34" s="85">
        <f>AT34/Weights!$B$8*8/'Data and calc.'!$BS34*2</f>
        <v>0.70799305036362448</v>
      </c>
      <c r="BW34" s="85">
        <f>BC34/Weights!$B$20*8/'Data and calc.'!$BS34*2</f>
        <v>0.10968887611839932</v>
      </c>
      <c r="BX34" s="85">
        <f>BD34/Weights!$B$10*8/'Data and calc.'!$BS34</f>
        <v>0.11323209993513879</v>
      </c>
      <c r="BY34" s="85">
        <f>AV34/Weights!$B$11*8/'Data and calc.'!$BS34</f>
        <v>4.129215513353394E-3</v>
      </c>
      <c r="BZ34" s="85">
        <f>AW34/Weights!$B$13*8/'Data and calc.'!$BS34</f>
        <v>0.38846645189236595</v>
      </c>
      <c r="CA34" s="85">
        <f>AX34/Weights!$B$14*8/'Data and calc.'!$BS34</f>
        <v>0.30376329609131336</v>
      </c>
      <c r="CB34" s="85">
        <f>AY34/Weights!$B$15*8/'Data and calc.'!$BS34*2</f>
        <v>0.20563947155586967</v>
      </c>
      <c r="CC34" s="85">
        <f>AZ34/Weights!$B$16*8/'Data and calc.'!$BS34*2</f>
        <v>5.2103045584122959E-2</v>
      </c>
      <c r="CD34" s="85">
        <f>BA34/Weights!$B$6*8/'Data and calc.'!$BS34*2</f>
        <v>9.5207943057933292E-4</v>
      </c>
      <c r="CE34" s="85">
        <f>B34/Weights!$B$19*8/'Data and calc.'!$BS34*2</f>
        <v>1.4374895263831473</v>
      </c>
      <c r="CF34" s="85">
        <f t="shared" si="83"/>
        <v>13.498507358941641</v>
      </c>
      <c r="CG34" s="85">
        <f t="shared" si="84"/>
        <v>0.74126496346318704</v>
      </c>
      <c r="CH34" s="85">
        <f t="shared" si="101"/>
        <v>0.32354666594668852</v>
      </c>
      <c r="CI34" s="85">
        <f>AR34/Weights!$B$5*2+AS34/Weights!$B$7*2+AT34/Weights!$B$8*3+'Data and calc.'!BC34/Weights!$B$20*3+'Data and calc.'!BD34/Weights!$B$10+'Data and calc.'!AV34/Weights!$B$11+'Data and calc.'!AW34/Weights!$B$13+'Data and calc.'!AX34/Weights!$B$14+'Data and calc.'!AY34/Weights!$B$15+AZ34/Weights!$B$16+'Data and calc.'!BA34/Weights!$B$6*5</f>
        <v>2.7835722233387359</v>
      </c>
      <c r="CJ34" s="84">
        <f>AR34/Weights!$B$5*8/'Data and calc.'!$CI34</f>
        <v>2.8016808145513585</v>
      </c>
      <c r="CK34" s="85">
        <f>AS34/Weights!$B$7*8/'Data and calc.'!$CI34</f>
        <v>7.6643657438627642E-3</v>
      </c>
      <c r="CL34" s="85">
        <f>AT34/Weights!$B$8*8/'Data and calc.'!$CI34*2</f>
        <v>0.77788021689947762</v>
      </c>
      <c r="CM34" s="85">
        <f>BC34/Weights!$B$20*8/'Data and calc.'!$CI34*2</f>
        <v>0.12051644674000354</v>
      </c>
      <c r="CN34" s="85">
        <f>BD34/Weights!$B$10*8/'Data and calc.'!$CI34</f>
        <v>0.1244094280477623</v>
      </c>
      <c r="CO34" s="85">
        <f>AV34/Weights!$B$11*8/'Data and calc.'!$CI34</f>
        <v>4.5368172152287769E-3</v>
      </c>
      <c r="CP34" s="85">
        <f>AW34/Weights!$B$13*8/'Data and calc.'!$CI34</f>
        <v>0.42681261871285969</v>
      </c>
      <c r="CQ34" s="85">
        <f>AX34/Weights!$B$14*8/'Data and calc.'!$CI34</f>
        <v>0.33374827412253844</v>
      </c>
      <c r="CR34" s="85">
        <f>AY34/Weights!$B$15*8/'Data and calc.'!$CI34*2</f>
        <v>0.22593848436056976</v>
      </c>
      <c r="CS34" s="85">
        <f>AZ34/Weights!$B$16*8/'Data and calc.'!$CI34*2</f>
        <v>5.7246223503584971E-2</v>
      </c>
      <c r="CT34" s="85">
        <f>BA34/Weights!$B$6*8/'Data and calc.'!$CI34*2</f>
        <v>1.0460607679470997E-3</v>
      </c>
      <c r="CU34" s="85">
        <f t="shared" si="85"/>
        <v>7.9999999999999991</v>
      </c>
      <c r="CV34" s="85">
        <f t="shared" si="86"/>
        <v>14.83096737573881</v>
      </c>
      <c r="CW34" s="85">
        <f t="shared" si="87"/>
        <v>0.31529504303908001</v>
      </c>
      <c r="CX34" s="113"/>
      <c r="CY34" s="90">
        <f t="shared" si="88"/>
        <v>5.1601206929116017E-2</v>
      </c>
      <c r="CZ34" s="91">
        <f t="shared" si="89"/>
        <v>4.9069178115344476</v>
      </c>
      <c r="DA34" s="85">
        <f t="shared" si="90"/>
        <v>-4.3082188465552562E-2</v>
      </c>
      <c r="DB34" s="85">
        <f t="shared" si="91"/>
        <v>4.3082188465552562E-2</v>
      </c>
      <c r="DC34" s="85">
        <f t="shared" si="92"/>
        <v>1.8560749629813903E-3</v>
      </c>
      <c r="DD34" s="117"/>
      <c r="DE34" s="97"/>
      <c r="DF34" s="91">
        <f t="shared" si="93"/>
        <v>4.9156029926575515</v>
      </c>
      <c r="DG34" s="85">
        <f t="shared" si="94"/>
        <v>-3.439700734244866E-2</v>
      </c>
      <c r="DH34" s="85">
        <f t="shared" si="95"/>
        <v>3.439700734244866E-2</v>
      </c>
      <c r="DI34" s="85">
        <f>DG34^2</f>
        <v>1.183154114116467E-3</v>
      </c>
      <c r="DK34" s="117"/>
      <c r="DL34" s="99">
        <f>'Eq. 3 coef.'!$B$15+'Eq. 3 coef.'!$B$16*'Data and calc.'!G34^2+'Eq. 3 coef.'!$B$17*'Data and calc.'!G34+'Eq. 3 coef.'!$B$18*'Data and calc.'!BF34+'Eq. 3 coef.'!$B$19*'Data and calc.'!BG34+'Eq. 3 coef.'!$B$20*'Data and calc.'!BH34+'Eq. 3 coef.'!$B$21*'Data and calc.'!BI34+'Eq. 3 coef.'!$B$22*'Data and calc.'!BJ34+'Eq. 3 coef.'!$B$23*'Data and calc.'!BK34+'Eq. 3 coef.'!$B$24*'Data and calc.'!BL34+'Eq. 3 coef.'!$B$25*'Data and calc.'!BM34+'Eq. 3 coef.'!$B$26*'Data and calc.'!BN34+'Eq. 3 coef.'!$B$27*'Data and calc.'!BO34+'Eq. 3 coef.'!$B$28*'Data and calc.'!BP34</f>
        <v>5.0093337857940696</v>
      </c>
      <c r="DM34" s="85">
        <f t="shared" si="96"/>
        <v>5.9333785794069449E-2</v>
      </c>
      <c r="DN34" s="85">
        <f t="shared" si="97"/>
        <v>5.9333785794069449E-2</v>
      </c>
      <c r="DO34" s="85">
        <f t="shared" si="33"/>
        <v>3.5204981366565176E-3</v>
      </c>
      <c r="DP34" s="117"/>
      <c r="DQ34" s="99">
        <f>'Eq. 4 coef.'!$B$15+'Eq. 4 coef.'!$B$16*'Data and calc.'!G34^2+'Eq. 4 coef.'!$B$17*'Data and calc.'!G34+'Eq. 4 coef.'!$B$18*'Data and calc.'!O34+'Eq. 4 coef.'!$B$19*'Data and calc.'!P34+'Eq. 4 coef.'!$B$20*'Data and calc.'!Q34+'Eq. 4 coef.'!$B$21*'Data and calc.'!R34+'Eq. 4 coef.'!$B$22*'Data and calc.'!S34+'Eq. 4 coef.'!$B$23*'Data and calc.'!T34+'Eq. 4 coef.'!$B$24*'Data and calc.'!U34+'Eq. 4 coef.'!$B$25*'Data and calc.'!V34+'Eq. 4 coef.'!$B$26*'Data and calc.'!W34+'Eq. 4 coef.'!$B$27*'Data and calc.'!X34</f>
        <v>4.9514084963705329</v>
      </c>
      <c r="DR34" s="85">
        <f t="shared" si="98"/>
        <v>1.4084963705327525E-3</v>
      </c>
      <c r="DS34" s="85">
        <f t="shared" si="99"/>
        <v>1.4084963705327525E-3</v>
      </c>
      <c r="DT34" s="85">
        <f t="shared" si="100"/>
        <v>1.9838620258039367E-6</v>
      </c>
    </row>
    <row r="35" spans="1:125" x14ac:dyDescent="0.15">
      <c r="A35" s="142" t="s">
        <v>623</v>
      </c>
      <c r="B35" s="73"/>
      <c r="C35" s="73"/>
      <c r="E35" s="71"/>
      <c r="F35" s="126"/>
      <c r="I35" s="126"/>
      <c r="L35" s="73"/>
      <c r="O35" s="76"/>
      <c r="P35" s="73"/>
      <c r="Q35" s="73"/>
      <c r="R35" s="73"/>
      <c r="S35" s="73"/>
      <c r="T35" s="73"/>
      <c r="U35" s="73"/>
      <c r="V35" s="73"/>
      <c r="W35" s="73"/>
      <c r="Y35" s="73"/>
      <c r="Z35" s="73"/>
      <c r="AA35" s="73"/>
      <c r="AR35" s="84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4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T35" s="84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4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Z35" s="91"/>
      <c r="DA35" s="85"/>
      <c r="DB35" s="85"/>
      <c r="DC35" s="85"/>
      <c r="DF35" s="91"/>
      <c r="DG35" s="85"/>
      <c r="DH35" s="85"/>
      <c r="DI35" s="85"/>
      <c r="DL35" s="99"/>
      <c r="DM35" s="85"/>
      <c r="DN35" s="85"/>
      <c r="DO35" s="85"/>
      <c r="DR35" s="85"/>
      <c r="DS35" s="85"/>
      <c r="DT35" s="85"/>
    </row>
    <row r="36" spans="1:125" ht="15" x14ac:dyDescent="0.2">
      <c r="A36" s="66" t="s">
        <v>638</v>
      </c>
      <c r="B36" s="73">
        <v>5.4280044764822062</v>
      </c>
      <c r="C36" s="73">
        <v>0.10474862133464177</v>
      </c>
      <c r="D36" s="126">
        <f t="shared" ref="D36:D77" si="111">C36*100/B36</f>
        <v>1.9297814102490847</v>
      </c>
      <c r="E36" s="72">
        <f t="shared" ref="E36:E77" si="112">B36/(100-B36)</f>
        <v>5.7395473643488792E-2</v>
      </c>
      <c r="F36" s="64">
        <f t="shared" ref="F36:F77" si="113">G36^2</f>
        <v>49.809715371043289</v>
      </c>
      <c r="G36" s="73">
        <v>7.0575998307528947</v>
      </c>
      <c r="H36" s="73">
        <v>0.17755591705346602</v>
      </c>
      <c r="I36" s="126">
        <f>H36*100/G36</f>
        <v>2.5158116259267227</v>
      </c>
      <c r="J36" s="70">
        <v>1250</v>
      </c>
      <c r="K36" s="70">
        <v>400</v>
      </c>
      <c r="L36" s="73">
        <v>0.9832141809668562</v>
      </c>
      <c r="M36" s="70">
        <v>2.2999999999999998</v>
      </c>
      <c r="N36" s="64">
        <f t="shared" ref="N36:N41" si="114">M36+2*LOG(L36)</f>
        <v>2.2852962675664772</v>
      </c>
      <c r="O36" s="76">
        <v>50.631185974972382</v>
      </c>
      <c r="P36" s="73">
        <v>0.66326195382731534</v>
      </c>
      <c r="Q36" s="73">
        <v>15.564435683779829</v>
      </c>
      <c r="R36" s="73">
        <v>8.4316220171430292</v>
      </c>
      <c r="S36" s="73">
        <v>0.16724905175760835</v>
      </c>
      <c r="T36" s="73">
        <v>10.218319744347875</v>
      </c>
      <c r="U36" s="73">
        <v>11.679359675058985</v>
      </c>
      <c r="V36" s="73">
        <v>1.9700743660962277</v>
      </c>
      <c r="W36" s="73">
        <v>0.58573007197682392</v>
      </c>
      <c r="X36" s="73">
        <v>8.8761461039930711E-2</v>
      </c>
      <c r="Y36" s="73">
        <f>SUM(O36:X36)</f>
        <v>100.00000000000003</v>
      </c>
      <c r="Z36" s="73">
        <v>2.5558044380730518</v>
      </c>
      <c r="AA36" s="73">
        <v>1.1964805171456723</v>
      </c>
      <c r="AB36" s="59">
        <f t="shared" ref="AB36:AB41" si="115">(R36-AC36)*1.11</f>
        <v>4.8550079873057879</v>
      </c>
      <c r="AC36" s="60">
        <f t="shared" ref="AC36:AC41" si="116">R36*1.11/(AA36+1.11)</f>
        <v>4.0577409474981758</v>
      </c>
      <c r="AD36" s="57">
        <f t="shared" ref="AD36:AD41" si="117">100-R36+AB36+AC36</f>
        <v>100.48112691766093</v>
      </c>
      <c r="AE36" s="57"/>
      <c r="AF36" s="57">
        <f t="shared" ref="AF36:AO41" si="118">O36*(100-$B36)/100</f>
        <v>47.882922933754855</v>
      </c>
      <c r="AG36" s="57">
        <f t="shared" si="118"/>
        <v>0.62726006528276534</v>
      </c>
      <c r="AH36" s="57">
        <f t="shared" si="118"/>
        <v>14.719597418125067</v>
      </c>
      <c r="AI36" s="57">
        <f t="shared" si="118"/>
        <v>7.9739531966124471</v>
      </c>
      <c r="AJ36" s="57">
        <f t="shared" si="118"/>
        <v>0.15817076574133135</v>
      </c>
      <c r="AK36" s="57">
        <f t="shared" si="118"/>
        <v>9.6636688912034074</v>
      </c>
      <c r="AL36" s="57">
        <f t="shared" si="118"/>
        <v>11.045403509072326</v>
      </c>
      <c r="AM36" s="57">
        <f t="shared" si="118"/>
        <v>1.8631386413144961</v>
      </c>
      <c r="AN36" s="57">
        <f t="shared" si="118"/>
        <v>0.55393661744981948</v>
      </c>
      <c r="AO36" s="57">
        <f t="shared" si="118"/>
        <v>8.3943484961292281E-2</v>
      </c>
      <c r="AP36" s="57">
        <f t="shared" ref="AP36:AP41" si="119">SUM(AF36:AO36)</f>
        <v>94.571995523517799</v>
      </c>
      <c r="AQ36" s="57"/>
      <c r="AR36" s="84">
        <f t="shared" ref="AR36:BA41" si="120">O36*(100-$B36)/$AD36</f>
        <v>47.653648404035543</v>
      </c>
      <c r="AS36" s="85">
        <f t="shared" si="120"/>
        <v>0.62425659875090023</v>
      </c>
      <c r="AT36" s="85">
        <f t="shared" si="120"/>
        <v>14.649116575082815</v>
      </c>
      <c r="AU36" s="85">
        <f t="shared" si="120"/>
        <v>7.9357720611022682</v>
      </c>
      <c r="AV36" s="85">
        <f t="shared" si="120"/>
        <v>0.1574134074660051</v>
      </c>
      <c r="AW36" s="85">
        <f t="shared" si="120"/>
        <v>9.6173970054319593</v>
      </c>
      <c r="AX36" s="85">
        <f t="shared" si="120"/>
        <v>10.992515557795706</v>
      </c>
      <c r="AY36" s="85">
        <f t="shared" si="120"/>
        <v>1.8542175018013498</v>
      </c>
      <c r="AZ36" s="85">
        <f t="shared" si="120"/>
        <v>0.55128424057558767</v>
      </c>
      <c r="BA36" s="85">
        <f t="shared" si="120"/>
        <v>8.3541544105172713E-2</v>
      </c>
      <c r="BB36" s="85">
        <f t="shared" ref="BB36:BB41" si="121">SUM(AR36:BA36)</f>
        <v>94.119162896147301</v>
      </c>
      <c r="BC36" s="85">
        <f t="shared" ref="BC36:BD41" si="122">AB36*(100-$B36)/$AD36</f>
        <v>4.5694928761932969</v>
      </c>
      <c r="BD36" s="85">
        <f t="shared" si="122"/>
        <v>3.8191118122794787</v>
      </c>
      <c r="BE36" s="85">
        <f t="shared" ref="BE36:BE41" si="123">BB36+BC36+BD36+B36-AU36</f>
        <v>100</v>
      </c>
      <c r="BF36" s="84">
        <f t="shared" ref="BF36:BH41" si="124">AR36*100/(100-$B36)</f>
        <v>50.388752125025441</v>
      </c>
      <c r="BG36" s="85">
        <f t="shared" si="124"/>
        <v>0.66008610191128136</v>
      </c>
      <c r="BH36" s="85">
        <f t="shared" si="124"/>
        <v>15.489909559368375</v>
      </c>
      <c r="BI36" s="85">
        <f t="shared" ref="BI36:BJ41" si="125">BC36*100/(100-$B36)</f>
        <v>4.8317610841329595</v>
      </c>
      <c r="BJ36" s="85">
        <f t="shared" si="125"/>
        <v>4.0383115436427017</v>
      </c>
      <c r="BK36" s="85">
        <f t="shared" ref="BK36:BP41" si="126">AV36*100/(100-$B36)</f>
        <v>0.16644822454535196</v>
      </c>
      <c r="BL36" s="85">
        <f t="shared" si="126"/>
        <v>10.169392061776197</v>
      </c>
      <c r="BM36" s="85">
        <f t="shared" si="126"/>
        <v>11.623436194768809</v>
      </c>
      <c r="BN36" s="85">
        <f t="shared" si="126"/>
        <v>1.9606411935552848</v>
      </c>
      <c r="BO36" s="85">
        <f t="shared" si="126"/>
        <v>0.58292546067561457</v>
      </c>
      <c r="BP36" s="85">
        <f t="shared" si="126"/>
        <v>8.833645059799751E-2</v>
      </c>
      <c r="BQ36" s="85">
        <f t="shared" ref="BQ36:BQ41" si="127">SUM(BF36:BP36)</f>
        <v>100.00000000000001</v>
      </c>
      <c r="BR36" s="85"/>
      <c r="BS36" s="82">
        <f>AR36/Weights!$B$5*2+AS36/Weights!$B$7*2+AT36/Weights!$B$8*3+'Data and calc.'!BC36/Weights!$B$20*3+'Data and calc.'!BD36/Weights!$B$10+'Data and calc.'!AV36/Weights!$B$11+'Data and calc.'!AW36/Weights!$B$13+'Data and calc.'!AX36/Weights!$B$14+'Data and calc.'!AY36/Weights!$B$15+AZ36/Weights!$B$16+B36/Weights!$B$19+'Data and calc.'!BA36/Weights!$B$6*5</f>
        <v>2.9488057980017857</v>
      </c>
      <c r="BT36" s="84">
        <f>AR36/Weights!$B$5*8/'Data and calc.'!$BS36</f>
        <v>2.1517329092144748</v>
      </c>
      <c r="BU36" s="85">
        <f>AS36/Weights!$B$7*8/'Data and calc.'!$BS36</f>
        <v>2.1205594917716064E-2</v>
      </c>
      <c r="BV36" s="85">
        <f>AT36/Weights!$B$8*8/'Data and calc.'!$BS36*2</f>
        <v>0.77956995193382028</v>
      </c>
      <c r="BW36" s="85">
        <f>BC36/Weights!$B$20*8/'Data and calc.'!$BS36*2</f>
        <v>0.15526453017243527</v>
      </c>
      <c r="BX36" s="85">
        <f>BD36/Weights!$B$10*8/'Data and calc.'!$BS36</f>
        <v>0.14421674340435625</v>
      </c>
      <c r="BY36" s="85">
        <f>AV36/Weights!$B$11*8/'Data and calc.'!$BS36</f>
        <v>6.0202211905977772E-3</v>
      </c>
      <c r="BZ36" s="85">
        <f>AW36/Weights!$B$13*8/'Data and calc.'!$BS36</f>
        <v>0.64737095305135983</v>
      </c>
      <c r="CA36" s="85">
        <f>AX36/Weights!$B$14*8/'Data and calc.'!$BS36</f>
        <v>0.53180955057080781</v>
      </c>
      <c r="CB36" s="85">
        <f>AY36/Weights!$B$15*8/'Data and calc.'!$BS36*2</f>
        <v>0.16232789443630433</v>
      </c>
      <c r="CC36" s="85">
        <f>AZ36/Weights!$B$16*8/'Data and calc.'!$BS36*2</f>
        <v>3.1755486576770325E-2</v>
      </c>
      <c r="CD36" s="85">
        <f>BA36/Weights!$B$6*8/'Data and calc.'!$BS36*2</f>
        <v>3.1934662379261396E-3</v>
      </c>
      <c r="CE36" s="85">
        <f>B36/Weights!$B$19*8/'Data and calc.'!$BS36*2</f>
        <v>1.6348568885155179</v>
      </c>
      <c r="CF36" s="85">
        <f t="shared" ref="CF36:CF41" si="128">SUM(BT36:BW36)*4</f>
        <v>12.431091944953785</v>
      </c>
      <c r="CG36" s="85">
        <f t="shared" ref="CG36:CG41" si="129">(16-CF36)/SUM(BT36:BW36)</f>
        <v>1.1483811947815123</v>
      </c>
      <c r="CH36" s="85">
        <f t="shared" ref="CH36:CH41" si="130">CE36/SUM(BT36:CD36)</f>
        <v>0.35276047538700039</v>
      </c>
      <c r="CI36" s="85">
        <f>AR36/Weights!$B$5*2+AS36/Weights!$B$7*2+AT36/Weights!$B$8*3+'Data and calc.'!BC36/Weights!$B$20*3+'Data and calc.'!BD36/Weights!$B$10+'Data and calc.'!AV36/Weights!$B$11+'Data and calc.'!AW36/Weights!$B$13+'Data and calc.'!AX36/Weights!$B$14+'Data and calc.'!AY36/Weights!$B$15+AZ36/Weights!$B$16+'Data and calc.'!BA36/Weights!$B$6*5</f>
        <v>2.6475010810169284</v>
      </c>
      <c r="CJ36" s="84">
        <f>AR36/Weights!$B$5*8/'Data and calc.'!$CI36</f>
        <v>2.3966156327330781</v>
      </c>
      <c r="CK36" s="85">
        <f>AS36/Weights!$B$7*8/'Data and calc.'!$CI36</f>
        <v>2.3618944555603184E-2</v>
      </c>
      <c r="CL36" s="85">
        <f>AT36/Weights!$B$8*8/'Data and calc.'!$CI36*2</f>
        <v>0.86829063477754387</v>
      </c>
      <c r="CM36" s="85">
        <f>BC36/Weights!$B$20*8/'Data and calc.'!$CI36*2</f>
        <v>0.17293475348483636</v>
      </c>
      <c r="CN36" s="85">
        <f>BD36/Weights!$B$10*8/'Data and calc.'!$CI36</f>
        <v>0.16062964890513004</v>
      </c>
      <c r="CO36" s="85">
        <f>AV36/Weights!$B$11*8/'Data and calc.'!$CI36</f>
        <v>6.7053657803490159E-3</v>
      </c>
      <c r="CP36" s="85">
        <f>AW36/Weights!$B$13*8/'Data and calc.'!$CI36</f>
        <v>0.72104643639372534</v>
      </c>
      <c r="CQ36" s="85">
        <f>AX36/Weights!$B$14*8/'Data and calc.'!$CI36</f>
        <v>0.59233331287387481</v>
      </c>
      <c r="CR36" s="85">
        <f>AY36/Weights!$B$15*8/'Data and calc.'!$CI36*2</f>
        <v>0.18080197954341659</v>
      </c>
      <c r="CS36" s="85">
        <f>AZ36/Weights!$B$16*8/'Data and calc.'!$CI36*2</f>
        <v>3.5369489972022966E-2</v>
      </c>
      <c r="CT36" s="85">
        <f>BA36/Weights!$B$6*8/'Data and calc.'!$CI36*2</f>
        <v>3.5569057273066086E-3</v>
      </c>
      <c r="CU36" s="85">
        <f t="shared" ref="CU36:CU41" si="131">CJ36*2+CK36*2+CL36*1.5+CM36*1.5+CN36+CO36+CP36+CQ36+CR36*0.5+CS36*0.5+CT36*2.5</f>
        <v>7.9999999999999973</v>
      </c>
      <c r="CV36" s="85">
        <f t="shared" ref="CV36:CV41" si="132">SUM(CJ36:CM36)*4</f>
        <v>13.845839862204246</v>
      </c>
      <c r="CW36" s="85">
        <f t="shared" ref="CW36:CW41" si="133">(16-CV36)/SUM(CJ36:CM36)</f>
        <v>0.62232704096949276</v>
      </c>
      <c r="CX36" s="113"/>
      <c r="CY36" s="90">
        <f t="shared" si="88"/>
        <v>5.7095934542782417E-2</v>
      </c>
      <c r="CZ36" s="91">
        <f t="shared" ref="CZ36:CZ43" si="134">100*CY36/(1+CY36)</f>
        <v>5.4012065203408133</v>
      </c>
      <c r="DA36" s="85">
        <f t="shared" ref="DA36:DA77" si="135">CZ36-B36</f>
        <v>-2.6797956141392909E-2</v>
      </c>
      <c r="DB36" s="85">
        <f t="shared" ref="DB36:DB77" si="136">ABS(DA36)</f>
        <v>2.6797956141392909E-2</v>
      </c>
      <c r="DC36" s="85">
        <f t="shared" ref="DC36:DC43" si="137">DA36^2</f>
        <v>7.1813045335601797E-4</v>
      </c>
      <c r="DD36" s="117"/>
      <c r="DE36" s="97"/>
      <c r="DF36" s="91">
        <f t="shared" ref="DF36:DF77" si="138">$DF$2*G36^2 + $DH$2*G36 +$DJ$2</f>
        <v>5.4046738653133639</v>
      </c>
      <c r="DG36" s="85">
        <f t="shared" ref="DG36:DG77" si="139">DF36-B36</f>
        <v>-2.3330611168842275E-2</v>
      </c>
      <c r="DH36" s="85">
        <f t="shared" ref="DH36:DH77" si="140">ABS(DG36)</f>
        <v>2.3330611168842275E-2</v>
      </c>
      <c r="DI36" s="85">
        <f t="shared" ref="DI36:DI41" si="141">DG36^2</f>
        <v>5.4431741751170793E-4</v>
      </c>
      <c r="DK36" s="117"/>
      <c r="DL36" s="99">
        <f>'Eq. 3 coef.'!$B$15+'Eq. 3 coef.'!$B$16*'Data and calc.'!G36^2+'Eq. 3 coef.'!$B$17*'Data and calc.'!G36+'Eq. 3 coef.'!$B$18*'Data and calc.'!BF36+'Eq. 3 coef.'!$B$19*'Data and calc.'!BG36+'Eq. 3 coef.'!$B$20*'Data and calc.'!BH36+'Eq. 3 coef.'!$B$21*'Data and calc.'!BI36+'Eq. 3 coef.'!$B$22*'Data and calc.'!BJ36+'Eq. 3 coef.'!$B$23*'Data and calc.'!BK36+'Eq. 3 coef.'!$B$24*'Data and calc.'!BL36+'Eq. 3 coef.'!$B$25*'Data and calc.'!BM36+'Eq. 3 coef.'!$B$26*'Data and calc.'!BN36+'Eq. 3 coef.'!$B$27*'Data and calc.'!BO36+'Eq. 3 coef.'!$B$28*'Data and calc.'!BP36</f>
        <v>5.3771247884556033</v>
      </c>
      <c r="DM36" s="85">
        <f t="shared" ref="DM36:DM41" si="142">DL36-B36</f>
        <v>-5.0879688026602921E-2</v>
      </c>
      <c r="DN36" s="85">
        <f t="shared" ref="DN36:DN73" si="143">ABS(DM36)</f>
        <v>5.0879688026602921E-2</v>
      </c>
      <c r="DO36" s="85">
        <f t="shared" si="33"/>
        <v>2.5887426536844406E-3</v>
      </c>
      <c r="DP36" s="117"/>
      <c r="DQ36" s="99">
        <f>'Eq. 4 coef.'!$B$15+'Eq. 4 coef.'!$B$16*'Data and calc.'!G36^2+'Eq. 4 coef.'!$B$17*'Data and calc.'!G36+'Eq. 4 coef.'!$B$18*'Data and calc.'!O36+'Eq. 4 coef.'!$B$19*'Data and calc.'!P36+'Eq. 4 coef.'!$B$20*'Data and calc.'!Q36+'Eq. 4 coef.'!$B$21*'Data and calc.'!R36+'Eq. 4 coef.'!$B$22*'Data and calc.'!S36+'Eq. 4 coef.'!$B$23*'Data and calc.'!T36+'Eq. 4 coef.'!$B$24*'Data and calc.'!U36+'Eq. 4 coef.'!$B$25*'Data and calc.'!V36+'Eq. 4 coef.'!$B$26*'Data and calc.'!W36+'Eq. 4 coef.'!$B$27*'Data and calc.'!X36</f>
        <v>5.3335762160888294</v>
      </c>
      <c r="DR36" s="85">
        <f t="shared" ref="DR36:DR41" si="144">DQ36-B36</f>
        <v>-9.4428260393376817E-2</v>
      </c>
      <c r="DS36" s="85">
        <f t="shared" ref="DS36:DS73" si="145">ABS(DR36)</f>
        <v>9.4428260393376817E-2</v>
      </c>
      <c r="DT36" s="85">
        <f t="shared" ref="DT36:DT41" si="146">DR36^2</f>
        <v>8.9166963609193777E-3</v>
      </c>
    </row>
    <row r="37" spans="1:125" ht="15" x14ac:dyDescent="0.2">
      <c r="A37" s="66" t="s">
        <v>493</v>
      </c>
      <c r="B37" s="73">
        <v>4.6900000000000004</v>
      </c>
      <c r="C37" s="73">
        <v>0.09</v>
      </c>
      <c r="D37" s="126">
        <f t="shared" si="111"/>
        <v>1.9189765458422172</v>
      </c>
      <c r="E37" s="72">
        <f t="shared" si="112"/>
        <v>4.9207848074703603E-2</v>
      </c>
      <c r="F37" s="64">
        <f t="shared" si="113"/>
        <v>36.882862522264311</v>
      </c>
      <c r="G37" s="73">
        <v>6.0731262560780266</v>
      </c>
      <c r="H37" s="73">
        <v>0.12108380564488241</v>
      </c>
      <c r="I37" s="126">
        <f>H37*100/G37</f>
        <v>1.993764011141723</v>
      </c>
      <c r="J37" s="74">
        <v>1250</v>
      </c>
      <c r="K37" s="74">
        <v>200</v>
      </c>
      <c r="L37" s="73">
        <v>1</v>
      </c>
      <c r="M37" s="70">
        <v>1.5</v>
      </c>
      <c r="N37" s="64">
        <f t="shared" si="114"/>
        <v>1.5</v>
      </c>
      <c r="O37" s="76">
        <v>51.38345333224116</v>
      </c>
      <c r="P37" s="73">
        <v>1.0430852125621832</v>
      </c>
      <c r="Q37" s="73">
        <v>15.21542729396624</v>
      </c>
      <c r="R37" s="73">
        <v>11.187208107469223</v>
      </c>
      <c r="S37" s="73">
        <v>0.16969576843435108</v>
      </c>
      <c r="T37" s="73">
        <v>7.4292061711544717</v>
      </c>
      <c r="U37" s="73">
        <v>10.727222851972524</v>
      </c>
      <c r="V37" s="73">
        <v>2.298996685087161</v>
      </c>
      <c r="W37" s="73">
        <v>0.46005042129611551</v>
      </c>
      <c r="X37" s="73">
        <v>8.5654155816564062E-2</v>
      </c>
      <c r="Y37" s="73">
        <f>SUM(O37:X37)</f>
        <v>100</v>
      </c>
      <c r="Z37" s="73">
        <v>2.7590471063832767</v>
      </c>
      <c r="AA37" s="73">
        <v>0.67820522245182013</v>
      </c>
      <c r="AB37" s="59">
        <f t="shared" si="115"/>
        <v>4.7096481898980622</v>
      </c>
      <c r="AC37" s="60">
        <f t="shared" si="116"/>
        <v>6.944281810263762</v>
      </c>
      <c r="AD37" s="57">
        <f t="shared" si="117"/>
        <v>100.4667218926926</v>
      </c>
      <c r="AE37" s="57"/>
      <c r="AF37" s="57">
        <f t="shared" si="118"/>
        <v>48.973569370959048</v>
      </c>
      <c r="AG37" s="57">
        <f t="shared" si="118"/>
        <v>0.99416451609301693</v>
      </c>
      <c r="AH37" s="57">
        <f t="shared" si="118"/>
        <v>14.501823753879224</v>
      </c>
      <c r="AI37" s="57">
        <f t="shared" si="118"/>
        <v>10.662528047228916</v>
      </c>
      <c r="AJ37" s="57">
        <f t="shared" si="118"/>
        <v>0.16173703689478003</v>
      </c>
      <c r="AK37" s="57">
        <f t="shared" si="118"/>
        <v>7.0807764017273271</v>
      </c>
      <c r="AL37" s="57">
        <f t="shared" si="118"/>
        <v>10.224116100215012</v>
      </c>
      <c r="AM37" s="57">
        <f t="shared" si="118"/>
        <v>2.1911737405565734</v>
      </c>
      <c r="AN37" s="57">
        <f t="shared" si="118"/>
        <v>0.43847405653732774</v>
      </c>
      <c r="AO37" s="57">
        <f t="shared" si="118"/>
        <v>8.1636975908767215E-2</v>
      </c>
      <c r="AP37" s="57">
        <f t="shared" si="119"/>
        <v>95.309999999999988</v>
      </c>
      <c r="AQ37" s="57"/>
      <c r="AR37" s="84">
        <f t="shared" si="120"/>
        <v>48.74606083322513</v>
      </c>
      <c r="AS37" s="85">
        <f t="shared" si="120"/>
        <v>0.98954608786267861</v>
      </c>
      <c r="AT37" s="85">
        <f t="shared" si="120"/>
        <v>14.434454992339116</v>
      </c>
      <c r="AU37" s="85">
        <f t="shared" si="120"/>
        <v>10.612994876669157</v>
      </c>
      <c r="AV37" s="85">
        <f t="shared" si="120"/>
        <v>0.16098568147523473</v>
      </c>
      <c r="AW37" s="85">
        <f t="shared" si="120"/>
        <v>7.0478823916343423</v>
      </c>
      <c r="AX37" s="85">
        <f t="shared" si="120"/>
        <v>10.176619588658697</v>
      </c>
      <c r="AY37" s="85">
        <f t="shared" si="120"/>
        <v>2.1809945614598054</v>
      </c>
      <c r="AZ37" s="85">
        <f t="shared" si="120"/>
        <v>0.43643710900178173</v>
      </c>
      <c r="BA37" s="85">
        <f t="shared" si="120"/>
        <v>8.125772830128046E-2</v>
      </c>
      <c r="BB37" s="85">
        <f t="shared" si="121"/>
        <v>94.867233850627244</v>
      </c>
      <c r="BC37" s="85">
        <f t="shared" si="122"/>
        <v>4.4679129618524271</v>
      </c>
      <c r="BD37" s="85">
        <f t="shared" si="122"/>
        <v>6.5878480641894939</v>
      </c>
      <c r="BE37" s="85">
        <f t="shared" si="123"/>
        <v>100.00000000000001</v>
      </c>
      <c r="BF37" s="84">
        <f t="shared" si="124"/>
        <v>51.144749588946731</v>
      </c>
      <c r="BG37" s="85">
        <f t="shared" si="124"/>
        <v>1.0382395214171425</v>
      </c>
      <c r="BH37" s="85">
        <f t="shared" si="124"/>
        <v>15.144743460643287</v>
      </c>
      <c r="BI37" s="85">
        <f t="shared" si="125"/>
        <v>4.6877693440902597</v>
      </c>
      <c r="BJ37" s="85">
        <f t="shared" si="125"/>
        <v>6.9120218908713609</v>
      </c>
      <c r="BK37" s="85">
        <f t="shared" si="126"/>
        <v>0.16890744043147071</v>
      </c>
      <c r="BL37" s="85">
        <f t="shared" si="126"/>
        <v>7.3946935176102633</v>
      </c>
      <c r="BM37" s="85">
        <f t="shared" si="126"/>
        <v>10.677389139291467</v>
      </c>
      <c r="BN37" s="85">
        <f t="shared" si="126"/>
        <v>2.2883166104918744</v>
      </c>
      <c r="BO37" s="85">
        <f t="shared" si="126"/>
        <v>0.45791323995570421</v>
      </c>
      <c r="BP37" s="85">
        <f t="shared" si="126"/>
        <v>8.525624625042541E-2</v>
      </c>
      <c r="BQ37" s="85">
        <f t="shared" si="127"/>
        <v>99.999999999999972</v>
      </c>
      <c r="BR37" s="85"/>
      <c r="BS37" s="82">
        <f>AR37/Weights!$B$5*2+AS37/Weights!$B$7*2+AT37/Weights!$B$8*3+'Data and calc.'!BC37/Weights!$B$20*3+'Data and calc.'!BD37/Weights!$B$10+'Data and calc.'!AV37/Weights!$B$11+'Data and calc.'!AW37/Weights!$B$13+'Data and calc.'!AX37/Weights!$B$14+'Data and calc.'!AY37/Weights!$B$15+AZ37/Weights!$B$16+B37/Weights!$B$19+'Data and calc.'!BA37/Weights!$B$6*5</f>
        <v>2.9093847580785712</v>
      </c>
      <c r="BT37" s="84">
        <f>AR37/Weights!$B$5*8/'Data and calc.'!$BS37</f>
        <v>2.2308827458855425</v>
      </c>
      <c r="BU37" s="85">
        <f>AS37/Weights!$B$7*8/'Data and calc.'!$BS37</f>
        <v>3.4069703801943893E-2</v>
      </c>
      <c r="BV37" s="85">
        <f>AT37/Weights!$B$8*8/'Data and calc.'!$BS37*2</f>
        <v>0.77855457177971132</v>
      </c>
      <c r="BW37" s="85">
        <f>BC37/Weights!$B$20*8/'Data and calc.'!$BS37*2</f>
        <v>0.15387000416451088</v>
      </c>
      <c r="BX37" s="85">
        <f>BD37/Weights!$B$10*8/'Data and calc.'!$BS37</f>
        <v>0.25214008678112182</v>
      </c>
      <c r="BY37" s="85">
        <f>AV37/Weights!$B$11*8/'Data and calc.'!$BS37</f>
        <v>6.240264397151361E-3</v>
      </c>
      <c r="BZ37" s="85">
        <f>AW37/Weights!$B$13*8/'Data and calc.'!$BS37</f>
        <v>0.48083860212762258</v>
      </c>
      <c r="CA37" s="85">
        <f>AX37/Weights!$B$14*8/'Data and calc.'!$BS37</f>
        <v>0.49900810139413665</v>
      </c>
      <c r="CB37" s="85">
        <f>AY37/Weights!$B$15*8/'Data and calc.'!$BS37*2</f>
        <v>0.19352277126204942</v>
      </c>
      <c r="CC37" s="85">
        <f>AZ37/Weights!$B$16*8/'Data and calc.'!$BS37*2</f>
        <v>2.5480613295799721E-2</v>
      </c>
      <c r="CD37" s="85">
        <f>BA37/Weights!$B$6*8/'Data and calc.'!$BS37*2</f>
        <v>3.1482522337546426E-3</v>
      </c>
      <c r="CE37" s="85">
        <f>B37/Weights!$B$19*8/'Data and calc.'!$BS37*2</f>
        <v>1.431717718290703</v>
      </c>
      <c r="CF37" s="85">
        <f t="shared" si="128"/>
        <v>12.789508102526835</v>
      </c>
      <c r="CG37" s="85">
        <f t="shared" si="129"/>
        <v>1.0041017595786552</v>
      </c>
      <c r="CH37" s="85">
        <f t="shared" si="130"/>
        <v>0.30738359957935701</v>
      </c>
      <c r="CI37" s="85">
        <f>AR37/Weights!$B$5*2+AS37/Weights!$B$7*2+AT37/Weights!$B$8*3+'Data and calc.'!BC37/Weights!$B$20*3+'Data and calc.'!BD37/Weights!$B$10+'Data and calc.'!AV37/Weights!$B$11+'Data and calc.'!AW37/Weights!$B$13+'Data and calc.'!AX37/Weights!$B$14+'Data and calc.'!AY37/Weights!$B$15+AZ37/Weights!$B$16+'Data and calc.'!BA37/Weights!$B$6*5</f>
        <v>2.6490461513619463</v>
      </c>
      <c r="CJ37" s="84">
        <f>AR37/Weights!$B$5*8/'Data and calc.'!$CI37</f>
        <v>2.450125776254569</v>
      </c>
      <c r="CK37" s="85">
        <f>AS37/Weights!$B$7*8/'Data and calc.'!$CI37</f>
        <v>3.7417950194135303E-2</v>
      </c>
      <c r="CL37" s="85">
        <f>AT37/Weights!$B$8*8/'Data and calc.'!$CI37*2</f>
        <v>0.85506807924192796</v>
      </c>
      <c r="CM37" s="85">
        <f>BC37/Weights!$B$20*8/'Data and calc.'!$CI37*2</f>
        <v>0.16899178770877832</v>
      </c>
      <c r="CN37" s="85">
        <f>BD37/Weights!$B$10*8/'Data and calc.'!$CI37</f>
        <v>0.27691949610030558</v>
      </c>
      <c r="CO37" s="85">
        <f>AV37/Weights!$B$11*8/'Data and calc.'!$CI37</f>
        <v>6.8535348522027022E-3</v>
      </c>
      <c r="CP37" s="85">
        <f>AW37/Weights!$B$13*8/'Data and calc.'!$CI37</f>
        <v>0.5280936685103339</v>
      </c>
      <c r="CQ37" s="85">
        <f>AX37/Weights!$B$14*8/'Data and calc.'!$CI37</f>
        <v>0.54804879998312384</v>
      </c>
      <c r="CR37" s="85">
        <f>AY37/Weights!$B$15*8/'Data and calc.'!$CI37*2</f>
        <v>0.21254148432312597</v>
      </c>
      <c r="CS37" s="85">
        <f>AZ37/Weights!$B$16*8/'Data and calc.'!$CI37*2</f>
        <v>2.7984755158448317E-2</v>
      </c>
      <c r="CT37" s="85">
        <f>BA37/Weights!$B$6*8/'Data and calc.'!$CI37*2</f>
        <v>3.4576509959116557E-3</v>
      </c>
      <c r="CU37" s="85">
        <f t="shared" si="131"/>
        <v>8</v>
      </c>
      <c r="CV37" s="85">
        <f t="shared" si="132"/>
        <v>14.046414373597642</v>
      </c>
      <c r="CW37" s="85">
        <f t="shared" si="133"/>
        <v>0.55632293749625306</v>
      </c>
      <c r="CX37" s="113"/>
      <c r="CY37" s="90">
        <f t="shared" si="88"/>
        <v>4.8619617064831804E-2</v>
      </c>
      <c r="CZ37" s="91">
        <f t="shared" si="134"/>
        <v>4.6365351433079143</v>
      </c>
      <c r="DA37" s="85">
        <f t="shared" si="135"/>
        <v>-5.3464856692086116E-2</v>
      </c>
      <c r="DB37" s="85">
        <f t="shared" si="136"/>
        <v>5.3464856692086116E-2</v>
      </c>
      <c r="DC37" s="85">
        <f t="shared" si="137"/>
        <v>2.8584909011053054E-3</v>
      </c>
      <c r="DD37" s="117"/>
      <c r="DE37" s="97"/>
      <c r="DF37" s="91">
        <f t="shared" si="138"/>
        <v>4.6472844307839933</v>
      </c>
      <c r="DG37" s="85">
        <f t="shared" si="139"/>
        <v>-4.2715569216007054E-2</v>
      </c>
      <c r="DH37" s="85">
        <f t="shared" si="140"/>
        <v>4.2715569216007054E-2</v>
      </c>
      <c r="DI37" s="85">
        <f t="shared" si="141"/>
        <v>1.8246198534474895E-3</v>
      </c>
      <c r="DK37" s="117"/>
      <c r="DL37" s="99">
        <f>'Eq. 3 coef.'!$B$15+'Eq. 3 coef.'!$B$16*'Data and calc.'!G37^2+'Eq. 3 coef.'!$B$17*'Data and calc.'!G37+'Eq. 3 coef.'!$B$18*'Data and calc.'!BF37+'Eq. 3 coef.'!$B$19*'Data and calc.'!BG37+'Eq. 3 coef.'!$B$20*'Data and calc.'!BH37+'Eq. 3 coef.'!$B$21*'Data and calc.'!BI37+'Eq. 3 coef.'!$B$22*'Data and calc.'!BJ37+'Eq. 3 coef.'!$B$23*'Data and calc.'!BK37+'Eq. 3 coef.'!$B$24*'Data and calc.'!BL37+'Eq. 3 coef.'!$B$25*'Data and calc.'!BM37+'Eq. 3 coef.'!$B$26*'Data and calc.'!BN37+'Eq. 3 coef.'!$B$27*'Data and calc.'!BO37+'Eq. 3 coef.'!$B$28*'Data and calc.'!BP37</f>
        <v>4.8142633879911045</v>
      </c>
      <c r="DM37" s="85">
        <f t="shared" si="142"/>
        <v>0.12426338799110415</v>
      </c>
      <c r="DN37" s="85">
        <f t="shared" si="143"/>
        <v>0.12426338799110415</v>
      </c>
      <c r="DO37" s="85">
        <f t="shared" si="33"/>
        <v>1.5441389595027687E-2</v>
      </c>
      <c r="DP37" s="117"/>
      <c r="DQ37" s="99">
        <f>'Eq. 4 coef.'!$B$15+'Eq. 4 coef.'!$B$16*'Data and calc.'!G37^2+'Eq. 4 coef.'!$B$17*'Data and calc.'!G37+'Eq. 4 coef.'!$B$18*'Data and calc.'!O37+'Eq. 4 coef.'!$B$19*'Data and calc.'!P37+'Eq. 4 coef.'!$B$20*'Data and calc.'!Q37+'Eq. 4 coef.'!$B$21*'Data and calc.'!R37+'Eq. 4 coef.'!$B$22*'Data and calc.'!S37+'Eq. 4 coef.'!$B$23*'Data and calc.'!T37+'Eq. 4 coef.'!$B$24*'Data and calc.'!U37+'Eq. 4 coef.'!$B$25*'Data and calc.'!V37+'Eq. 4 coef.'!$B$26*'Data and calc.'!W37+'Eq. 4 coef.'!$B$27*'Data and calc.'!X37</f>
        <v>4.726385791418636</v>
      </c>
      <c r="DR37" s="85">
        <f t="shared" si="144"/>
        <v>3.6385791418635627E-2</v>
      </c>
      <c r="DS37" s="85">
        <f t="shared" si="145"/>
        <v>3.6385791418635627E-2</v>
      </c>
      <c r="DT37" s="85">
        <f t="shared" si="146"/>
        <v>1.3239258171604581E-3</v>
      </c>
    </row>
    <row r="38" spans="1:125" ht="15" x14ac:dyDescent="0.2">
      <c r="A38" s="66" t="s">
        <v>489</v>
      </c>
      <c r="B38" s="73">
        <v>5.17</v>
      </c>
      <c r="C38" s="73">
        <v>0.15</v>
      </c>
      <c r="D38" s="126">
        <f t="shared" si="111"/>
        <v>2.9013539651837523</v>
      </c>
      <c r="E38" s="72">
        <f t="shared" si="112"/>
        <v>5.4518612253506273E-2</v>
      </c>
      <c r="F38" s="64">
        <f t="shared" si="113"/>
        <v>45.862607570064732</v>
      </c>
      <c r="G38" s="73">
        <v>6.7721937044110554</v>
      </c>
      <c r="H38" s="73">
        <v>0.10942353145174147</v>
      </c>
      <c r="I38" s="126">
        <f>H38*100/G38</f>
        <v>1.6157767516376365</v>
      </c>
      <c r="J38" s="74">
        <v>1250</v>
      </c>
      <c r="K38" s="74">
        <v>200</v>
      </c>
      <c r="L38" s="73">
        <v>1</v>
      </c>
      <c r="M38" s="70">
        <v>2.2999999999999998</v>
      </c>
      <c r="N38" s="64">
        <f t="shared" si="114"/>
        <v>2.2999999999999998</v>
      </c>
      <c r="O38" s="76">
        <v>51.7482842158552</v>
      </c>
      <c r="P38" s="73">
        <v>0.59272355875203764</v>
      </c>
      <c r="Q38" s="73">
        <v>16.127425103918949</v>
      </c>
      <c r="R38" s="73">
        <v>8.3711499447384607</v>
      </c>
      <c r="S38" s="73">
        <v>8.7824275156896628E-2</v>
      </c>
      <c r="T38" s="73">
        <v>7.9840833440973844</v>
      </c>
      <c r="U38" s="73">
        <v>12.728561704753265</v>
      </c>
      <c r="V38" s="73">
        <v>1.9046246031007357</v>
      </c>
      <c r="W38" s="73">
        <v>0.40050348810090575</v>
      </c>
      <c r="X38" s="73">
        <v>5.4819761526177992E-2</v>
      </c>
      <c r="Y38" s="73">
        <f>SUM(O38:X38)</f>
        <v>100.00000000000001</v>
      </c>
      <c r="Z38" s="73">
        <v>2.3051280912016416</v>
      </c>
      <c r="AA38" s="73">
        <v>1.3490233039755419</v>
      </c>
      <c r="AB38" s="59">
        <f t="shared" si="115"/>
        <v>5.0975900616630607</v>
      </c>
      <c r="AC38" s="60">
        <f t="shared" si="116"/>
        <v>3.7787264657627304</v>
      </c>
      <c r="AD38" s="57">
        <f t="shared" si="117"/>
        <v>100.50516658268732</v>
      </c>
      <c r="AE38" s="57"/>
      <c r="AF38" s="57">
        <f t="shared" si="118"/>
        <v>49.072897921895482</v>
      </c>
      <c r="AG38" s="57">
        <f t="shared" si="118"/>
        <v>0.5620797507645573</v>
      </c>
      <c r="AH38" s="57">
        <f t="shared" si="118"/>
        <v>15.293637226046339</v>
      </c>
      <c r="AI38" s="57">
        <f t="shared" si="118"/>
        <v>7.9383614925954813</v>
      </c>
      <c r="AJ38" s="57">
        <f t="shared" si="118"/>
        <v>8.3283760131285064E-2</v>
      </c>
      <c r="AK38" s="57">
        <f t="shared" si="118"/>
        <v>7.5713062352075493</v>
      </c>
      <c r="AL38" s="57">
        <f t="shared" si="118"/>
        <v>12.070495064617521</v>
      </c>
      <c r="AM38" s="57">
        <f t="shared" si="118"/>
        <v>1.8061555111204277</v>
      </c>
      <c r="AN38" s="57">
        <f t="shared" si="118"/>
        <v>0.37979745776608892</v>
      </c>
      <c r="AO38" s="57">
        <f t="shared" si="118"/>
        <v>5.1985579855274591E-2</v>
      </c>
      <c r="AP38" s="57">
        <f>SUM(AF38:AO38)</f>
        <v>94.829999999999984</v>
      </c>
      <c r="AQ38" s="57"/>
      <c r="AR38" s="84">
        <f t="shared" si="120"/>
        <v>48.826244053356568</v>
      </c>
      <c r="AS38" s="85">
        <f t="shared" si="120"/>
        <v>0.5592545834965853</v>
      </c>
      <c r="AT38" s="85">
        <f t="shared" si="120"/>
        <v>15.216767203170598</v>
      </c>
      <c r="AU38" s="85">
        <f t="shared" si="120"/>
        <v>7.8984611065386927</v>
      </c>
      <c r="AV38" s="85">
        <f t="shared" si="120"/>
        <v>8.2865153069286338E-2</v>
      </c>
      <c r="AW38" s="85">
        <f t="shared" si="120"/>
        <v>7.533250769728844</v>
      </c>
      <c r="AX38" s="85">
        <f t="shared" si="120"/>
        <v>12.009825439856286</v>
      </c>
      <c r="AY38" s="85">
        <f t="shared" si="120"/>
        <v>1.79707727725069</v>
      </c>
      <c r="AZ38" s="85">
        <f t="shared" si="120"/>
        <v>0.37788849138777664</v>
      </c>
      <c r="BA38" s="85">
        <f t="shared" si="120"/>
        <v>5.1724286047031387E-2</v>
      </c>
      <c r="BB38" s="85">
        <f t="shared" si="121"/>
        <v>94.353358363902359</v>
      </c>
      <c r="BC38" s="85">
        <f t="shared" si="122"/>
        <v>4.8097474188036182</v>
      </c>
      <c r="BD38" s="85">
        <f t="shared" si="122"/>
        <v>3.5653553238327311</v>
      </c>
      <c r="BE38" s="85">
        <f t="shared" si="123"/>
        <v>100.00000000000003</v>
      </c>
      <c r="BF38" s="84">
        <f t="shared" si="124"/>
        <v>51.488183120696583</v>
      </c>
      <c r="BG38" s="85">
        <f t="shared" si="124"/>
        <v>0.58974436728523172</v>
      </c>
      <c r="BH38" s="85">
        <f t="shared" si="124"/>
        <v>16.046364234072126</v>
      </c>
      <c r="BI38" s="85">
        <f t="shared" si="125"/>
        <v>5.0719681733666757</v>
      </c>
      <c r="BJ38" s="85">
        <f t="shared" si="125"/>
        <v>3.7597335482787422</v>
      </c>
      <c r="BK38" s="85">
        <f t="shared" si="126"/>
        <v>8.7382846218798202E-2</v>
      </c>
      <c r="BL38" s="85">
        <f t="shared" si="126"/>
        <v>7.9439531474521186</v>
      </c>
      <c r="BM38" s="85">
        <f t="shared" si="126"/>
        <v>12.664584456244107</v>
      </c>
      <c r="BN38" s="85">
        <f t="shared" si="126"/>
        <v>1.895051436518707</v>
      </c>
      <c r="BO38" s="85">
        <f t="shared" si="126"/>
        <v>0.39849044752480928</v>
      </c>
      <c r="BP38" s="85">
        <f t="shared" si="126"/>
        <v>5.4544222342118941E-2</v>
      </c>
      <c r="BQ38" s="85">
        <f>SUM(BF38:BP38)</f>
        <v>100.00000000000003</v>
      </c>
      <c r="BR38" s="85"/>
      <c r="BS38" s="82">
        <f>AR38/Weights!$B$5*2+AS38/Weights!$B$7*2+AT38/Weights!$B$8*3+'Data and calc.'!BC38/Weights!$B$20*3+'Data and calc.'!BD38/Weights!$B$10+'Data and calc.'!AV38/Weights!$B$11+'Data and calc.'!AW38/Weights!$B$13+'Data and calc.'!AX38/Weights!$B$14+'Data and calc.'!AY38/Weights!$B$15+AZ38/Weights!$B$16+B38/Weights!$B$19+'Data and calc.'!BA38/Weights!$B$6*5</f>
        <v>2.9510688026732694</v>
      </c>
      <c r="BT38" s="84">
        <f>AR38/Weights!$B$5*8/'Data and calc.'!$BS38</f>
        <v>2.2029891607911871</v>
      </c>
      <c r="BU38" s="85">
        <f>AS38/Weights!$B$7*8/'Data and calc.'!$BS38</f>
        <v>1.898295018928655E-2</v>
      </c>
      <c r="BV38" s="85">
        <f>AT38/Weights!$B$8*8/'Data and calc.'!$BS38*2</f>
        <v>0.80915717490871275</v>
      </c>
      <c r="BW38" s="85">
        <f>BC38/Weights!$B$20*8/'Data and calc.'!$BS38*2</f>
        <v>0.16330269648049003</v>
      </c>
      <c r="BX38" s="85">
        <f>BD38/Weights!$B$10*8/'Data and calc.'!$BS38</f>
        <v>0.13453118449968138</v>
      </c>
      <c r="BY38" s="85">
        <f>AV38/Weights!$B$11*8/'Data and calc.'!$BS38</f>
        <v>3.1667188105094423E-3</v>
      </c>
      <c r="BZ38" s="85">
        <f>AW38/Weights!$B$13*8/'Data and calc.'!$BS38</f>
        <v>0.50669302563853724</v>
      </c>
      <c r="CA38" s="85">
        <f>AX38/Weights!$B$14*8/'Data and calc.'!$BS38</f>
        <v>0.58058067416651504</v>
      </c>
      <c r="CB38" s="85">
        <f>AY38/Weights!$B$15*8/'Data and calc.'!$BS38*2</f>
        <v>0.15720489654088501</v>
      </c>
      <c r="CC38" s="85">
        <f>AZ38/Weights!$B$16*8/'Data and calc.'!$BS38*2</f>
        <v>2.1750722946963865E-2</v>
      </c>
      <c r="CD38" s="85">
        <f>BA38/Weights!$B$6*8/'Data and calc.'!$BS38*2</f>
        <v>1.9757007857121554E-3</v>
      </c>
      <c r="CE38" s="85">
        <f>B38/Weights!$B$19*8/'Data and calc.'!$BS38*2</f>
        <v>1.5559546122636023</v>
      </c>
      <c r="CF38" s="85">
        <f t="shared" si="128"/>
        <v>12.777727929478706</v>
      </c>
      <c r="CG38" s="85">
        <f t="shared" si="129"/>
        <v>1.0087151920295279</v>
      </c>
      <c r="CH38" s="85">
        <f t="shared" si="130"/>
        <v>0.33822637789173399</v>
      </c>
      <c r="CI38" s="85">
        <f>AR38/Weights!$B$5*2+AS38/Weights!$B$7*2+AT38/Weights!$B$8*3+'Data and calc.'!BC38/Weights!$B$20*3+'Data and calc.'!BD38/Weights!$B$10+'Data and calc.'!AV38/Weights!$B$11+'Data and calc.'!AW38/Weights!$B$13+'Data and calc.'!AX38/Weights!$B$14+'Data and calc.'!AY38/Weights!$B$15+AZ38/Weights!$B$16+'Data and calc.'!BA38/Weights!$B$6*5</f>
        <v>2.6640857330091006</v>
      </c>
      <c r="CJ38" s="84">
        <f>AR38/Weights!$B$5*8/'Data and calc.'!$CI38</f>
        <v>2.4403015655562732</v>
      </c>
      <c r="CK38" s="85">
        <f>AS38/Weights!$B$7*8/'Data and calc.'!$CI38</f>
        <v>2.1027848838419048E-2</v>
      </c>
      <c r="CL38" s="85">
        <f>AT38/Weights!$B$8*8/'Data and calc.'!$CI38*2</f>
        <v>0.89632194104925345</v>
      </c>
      <c r="CM38" s="85">
        <f>BC38/Weights!$B$20*8/'Data and calc.'!$CI38*2</f>
        <v>0.18089413827972697</v>
      </c>
      <c r="CN38" s="85">
        <f>BD38/Weights!$B$10*8/'Data and calc.'!$CI38</f>
        <v>0.14902327528148482</v>
      </c>
      <c r="CO38" s="85">
        <f>AV38/Weights!$B$11*8/'Data and calc.'!$CI38</f>
        <v>3.5078469783243632E-3</v>
      </c>
      <c r="CP38" s="85">
        <f>AW38/Weights!$B$13*8/'Data and calc.'!$CI38</f>
        <v>0.56127547322025551</v>
      </c>
      <c r="CQ38" s="85">
        <f>AX38/Weights!$B$14*8/'Data and calc.'!$CI38</f>
        <v>0.64312251431660827</v>
      </c>
      <c r="CR38" s="85">
        <f>AY38/Weights!$B$15*8/'Data and calc.'!$CI38*2</f>
        <v>0.17413946558141791</v>
      </c>
      <c r="CS38" s="85">
        <f>AZ38/Weights!$B$16*8/'Data and calc.'!$CI38*2</f>
        <v>2.4093774133865459E-2</v>
      </c>
      <c r="CT38" s="85">
        <f>BA38/Weights!$B$6*8/'Data and calc.'!$CI38*2</f>
        <v>2.1885290251326501E-3</v>
      </c>
      <c r="CU38" s="85">
        <f t="shared" si="131"/>
        <v>8</v>
      </c>
      <c r="CV38" s="85">
        <f t="shared" si="132"/>
        <v>14.154181974894692</v>
      </c>
      <c r="CW38" s="85">
        <f t="shared" si="133"/>
        <v>0.5216318479949571</v>
      </c>
      <c r="CX38" s="113"/>
      <c r="CY38" s="90">
        <f t="shared" si="88"/>
        <v>5.4638587794979182E-2</v>
      </c>
      <c r="CZ38" s="91">
        <f t="shared" si="134"/>
        <v>5.180787847827248</v>
      </c>
      <c r="DA38" s="85">
        <f t="shared" si="135"/>
        <v>1.0787847827248065E-2</v>
      </c>
      <c r="DB38" s="85">
        <f t="shared" si="136"/>
        <v>1.0787847827248065E-2</v>
      </c>
      <c r="DC38" s="85">
        <f t="shared" si="137"/>
        <v>1.1637766074386079E-4</v>
      </c>
      <c r="DD38" s="117"/>
      <c r="DE38" s="97"/>
      <c r="DF38" s="91">
        <f t="shared" si="138"/>
        <v>5.1868189516570133</v>
      </c>
      <c r="DG38" s="85">
        <f t="shared" si="139"/>
        <v>1.6818951657013415E-2</v>
      </c>
      <c r="DH38" s="85">
        <f t="shared" si="140"/>
        <v>1.6818951657013415E-2</v>
      </c>
      <c r="DI38" s="85">
        <f t="shared" si="141"/>
        <v>2.8287713484095428E-4</v>
      </c>
      <c r="DK38" s="117"/>
      <c r="DL38" s="99">
        <f>'Eq. 3 coef.'!$B$15+'Eq. 3 coef.'!$B$16*'Data and calc.'!G38^2+'Eq. 3 coef.'!$B$17*'Data and calc.'!G38+'Eq. 3 coef.'!$B$18*'Data and calc.'!BF38+'Eq. 3 coef.'!$B$19*'Data and calc.'!BG38+'Eq. 3 coef.'!$B$20*'Data and calc.'!BH38+'Eq. 3 coef.'!$B$21*'Data and calc.'!BI38+'Eq. 3 coef.'!$B$22*'Data and calc.'!BJ38+'Eq. 3 coef.'!$B$23*'Data and calc.'!BK38+'Eq. 3 coef.'!$B$24*'Data and calc.'!BL38+'Eq. 3 coef.'!$B$25*'Data and calc.'!BM38+'Eq. 3 coef.'!$B$26*'Data and calc.'!BN38+'Eq. 3 coef.'!$B$27*'Data and calc.'!BO38+'Eq. 3 coef.'!$B$28*'Data and calc.'!BP38</f>
        <v>5.280755359221871</v>
      </c>
      <c r="DM38" s="85">
        <f t="shared" si="142"/>
        <v>0.11075535922187107</v>
      </c>
      <c r="DN38" s="85">
        <f t="shared" si="143"/>
        <v>0.11075535922187107</v>
      </c>
      <c r="DO38" s="85">
        <f t="shared" si="33"/>
        <v>1.2266749596365702E-2</v>
      </c>
      <c r="DP38" s="117"/>
      <c r="DQ38" s="99">
        <f>'Eq. 4 coef.'!$B$15+'Eq. 4 coef.'!$B$16*'Data and calc.'!G38^2+'Eq. 4 coef.'!$B$17*'Data and calc.'!G38+'Eq. 4 coef.'!$B$18*'Data and calc.'!O38+'Eq. 4 coef.'!$B$19*'Data and calc.'!P38+'Eq. 4 coef.'!$B$20*'Data and calc.'!Q38+'Eq. 4 coef.'!$B$21*'Data and calc.'!R38+'Eq. 4 coef.'!$B$22*'Data and calc.'!S38+'Eq. 4 coef.'!$B$23*'Data and calc.'!T38+'Eq. 4 coef.'!$B$24*'Data and calc.'!U38+'Eq. 4 coef.'!$B$25*'Data and calc.'!V38+'Eq. 4 coef.'!$B$26*'Data and calc.'!W38+'Eq. 4 coef.'!$B$27*'Data and calc.'!X38</f>
        <v>5.2854656506267474</v>
      </c>
      <c r="DR38" s="85">
        <f t="shared" si="144"/>
        <v>0.11546565062674752</v>
      </c>
      <c r="DS38" s="85">
        <f t="shared" si="145"/>
        <v>0.11546565062674752</v>
      </c>
      <c r="DT38" s="85">
        <f t="shared" si="146"/>
        <v>1.3332316474658119E-2</v>
      </c>
    </row>
    <row r="39" spans="1:125" s="61" customFormat="1" ht="15" x14ac:dyDescent="0.2">
      <c r="A39" s="66" t="s">
        <v>571</v>
      </c>
      <c r="B39" s="73">
        <v>7.56</v>
      </c>
      <c r="C39" s="73">
        <v>0.14000000000000001</v>
      </c>
      <c r="D39" s="126">
        <f t="shared" si="111"/>
        <v>1.8518518518518521</v>
      </c>
      <c r="E39" s="72">
        <f t="shared" si="112"/>
        <v>8.1782778018173949E-2</v>
      </c>
      <c r="F39" s="64">
        <f t="shared" si="113"/>
        <v>109.49595754282046</v>
      </c>
      <c r="G39" s="73">
        <v>10.464031610369899</v>
      </c>
      <c r="H39" s="73">
        <v>0.10069396705362008</v>
      </c>
      <c r="I39" s="126">
        <f t="shared" si="106"/>
        <v>0.96228653355588056</v>
      </c>
      <c r="J39" s="70">
        <v>1250</v>
      </c>
      <c r="K39" s="70">
        <v>500</v>
      </c>
      <c r="L39" s="73">
        <v>1</v>
      </c>
      <c r="M39" s="70">
        <v>2.6</v>
      </c>
      <c r="N39" s="64">
        <f t="shared" si="114"/>
        <v>2.6</v>
      </c>
      <c r="O39" s="76">
        <v>50.441587479038567</v>
      </c>
      <c r="P39" s="73">
        <v>0.93907210732252666</v>
      </c>
      <c r="Q39" s="73">
        <v>18.244829513694803</v>
      </c>
      <c r="R39" s="73">
        <v>9.3907210732252668</v>
      </c>
      <c r="S39" s="73">
        <v>0.16769144773616548</v>
      </c>
      <c r="T39" s="73">
        <v>6.9983230855226388</v>
      </c>
      <c r="U39" s="73">
        <v>11.157070989379543</v>
      </c>
      <c r="V39" s="73">
        <v>2.4259362772498605</v>
      </c>
      <c r="W39" s="73">
        <v>0.23476802683063167</v>
      </c>
      <c r="X39" s="73">
        <v>0</v>
      </c>
      <c r="Y39" s="73">
        <f t="shared" si="110"/>
        <v>100</v>
      </c>
      <c r="Z39" s="73">
        <v>2.6607043040804923</v>
      </c>
      <c r="AA39" s="73">
        <v>1.5516161647382236</v>
      </c>
      <c r="AB39" s="59">
        <f t="shared" si="115"/>
        <v>6.0766019675451499</v>
      </c>
      <c r="AC39" s="60">
        <f t="shared" si="116"/>
        <v>3.9163048862476546</v>
      </c>
      <c r="AD39" s="57">
        <f t="shared" si="117"/>
        <v>100.60218578056754</v>
      </c>
      <c r="AE39" s="57"/>
      <c r="AF39" s="57">
        <f t="shared" si="118"/>
        <v>46.628203465623244</v>
      </c>
      <c r="AG39" s="57">
        <f t="shared" si="118"/>
        <v>0.86807825600894362</v>
      </c>
      <c r="AH39" s="57">
        <f t="shared" si="118"/>
        <v>16.865520402459477</v>
      </c>
      <c r="AI39" s="57">
        <f t="shared" si="118"/>
        <v>8.6807825600894368</v>
      </c>
      <c r="AJ39" s="57">
        <f t="shared" si="118"/>
        <v>0.15501397428731137</v>
      </c>
      <c r="AK39" s="57">
        <f t="shared" si="118"/>
        <v>6.4692498602571273</v>
      </c>
      <c r="AL39" s="57">
        <f t="shared" si="118"/>
        <v>10.313596422582449</v>
      </c>
      <c r="AM39" s="57">
        <f t="shared" si="118"/>
        <v>2.2425354946897711</v>
      </c>
      <c r="AN39" s="57">
        <f t="shared" si="118"/>
        <v>0.2170195640022359</v>
      </c>
      <c r="AO39" s="57">
        <f t="shared" si="118"/>
        <v>0</v>
      </c>
      <c r="AP39" s="57">
        <f t="shared" si="119"/>
        <v>92.440000000000012</v>
      </c>
      <c r="AQ39" s="57"/>
      <c r="AR39" s="84">
        <f t="shared" si="120"/>
        <v>46.349095801286275</v>
      </c>
      <c r="AS39" s="85">
        <f t="shared" si="120"/>
        <v>0.86288210268352128</v>
      </c>
      <c r="AT39" s="85">
        <f t="shared" si="120"/>
        <v>16.764566566422701</v>
      </c>
      <c r="AU39" s="85">
        <f t="shared" si="120"/>
        <v>8.6288210268352135</v>
      </c>
      <c r="AV39" s="85">
        <f t="shared" si="120"/>
        <v>0.15408608976491453</v>
      </c>
      <c r="AW39" s="85">
        <f t="shared" si="120"/>
        <v>6.4305261461890995</v>
      </c>
      <c r="AX39" s="85">
        <f t="shared" si="120"/>
        <v>10.25186117235898</v>
      </c>
      <c r="AY39" s="85">
        <f t="shared" si="120"/>
        <v>2.2291120985990966</v>
      </c>
      <c r="AZ39" s="85">
        <f t="shared" si="120"/>
        <v>0.21572052567088032</v>
      </c>
      <c r="BA39" s="85">
        <f t="shared" si="120"/>
        <v>0</v>
      </c>
      <c r="BB39" s="85">
        <f t="shared" si="121"/>
        <v>91.886671529810684</v>
      </c>
      <c r="BC39" s="85">
        <f t="shared" si="122"/>
        <v>5.5835872900922245</v>
      </c>
      <c r="BD39" s="85">
        <f t="shared" si="122"/>
        <v>3.598562206932308</v>
      </c>
      <c r="BE39" s="85">
        <f t="shared" si="123"/>
        <v>100.00000000000001</v>
      </c>
      <c r="BF39" s="84">
        <f t="shared" si="124"/>
        <v>50.139653614545949</v>
      </c>
      <c r="BG39" s="85">
        <f t="shared" si="124"/>
        <v>0.93345099814314292</v>
      </c>
      <c r="BH39" s="85">
        <f t="shared" si="124"/>
        <v>18.13561939249535</v>
      </c>
      <c r="BI39" s="85">
        <f t="shared" si="125"/>
        <v>6.0402285699829346</v>
      </c>
      <c r="BJ39" s="85">
        <f t="shared" si="125"/>
        <v>3.8928626210864432</v>
      </c>
      <c r="BK39" s="85">
        <f t="shared" si="126"/>
        <v>0.16668767823984695</v>
      </c>
      <c r="BL39" s="85">
        <f t="shared" si="126"/>
        <v>6.9564324385429464</v>
      </c>
      <c r="BM39" s="85">
        <f t="shared" si="126"/>
        <v>11.090286858891153</v>
      </c>
      <c r="BN39" s="85">
        <f t="shared" si="126"/>
        <v>2.4114150785364523</v>
      </c>
      <c r="BO39" s="85">
        <f t="shared" si="126"/>
        <v>0.23336274953578573</v>
      </c>
      <c r="BP39" s="85">
        <f t="shared" si="126"/>
        <v>0</v>
      </c>
      <c r="BQ39" s="85">
        <f t="shared" si="127"/>
        <v>100</v>
      </c>
      <c r="BR39" s="85"/>
      <c r="BS39" s="82">
        <f>AR39/Weights!$B$5*2+AS39/Weights!$B$7*2+AT39/Weights!$B$8*3+'Data and calc.'!BC39/Weights!$B$20*3+'Data and calc.'!BD39/Weights!$B$10+'Data and calc.'!AV39/Weights!$B$11+'Data and calc.'!AW39/Weights!$B$13+'Data and calc.'!AX39/Weights!$B$14+'Data and calc.'!AY39/Weights!$B$15+AZ39/Weights!$B$16+B39/Weights!$B$19+'Data and calc.'!BA39/Weights!$B$6*5</f>
        <v>3.0151452909657235</v>
      </c>
      <c r="BT39" s="84">
        <f>AR39/Weights!$B$5*8/'Data and calc.'!$BS39</f>
        <v>2.0467811070287518</v>
      </c>
      <c r="BU39" s="85">
        <f>AS39/Weights!$B$7*8/'Data and calc.'!$BS39</f>
        <v>2.8666634412834284E-2</v>
      </c>
      <c r="BV39" s="85">
        <f>AT39/Weights!$B$8*8/'Data and calc.'!$BS39*2</f>
        <v>0.8725170314982833</v>
      </c>
      <c r="BW39" s="85">
        <f>BC39/Weights!$B$20*8/'Data and calc.'!$BS39*2</f>
        <v>0.18554766197446537</v>
      </c>
      <c r="BX39" s="85">
        <f>BD39/Weights!$B$10*8/'Data and calc.'!$BS39</f>
        <v>0.1328985531974807</v>
      </c>
      <c r="BY39" s="85">
        <f>AV39/Weights!$B$11*8/'Data and calc.'!$BS39</f>
        <v>5.7633114526699451E-3</v>
      </c>
      <c r="BZ39" s="85">
        <f>AW39/Weights!$B$13*8/'Data and calc.'!$BS39</f>
        <v>0.42333102767789565</v>
      </c>
      <c r="CA39" s="85">
        <f>AX39/Weights!$B$14*8/'Data and calc.'!$BS39</f>
        <v>0.48506471880633678</v>
      </c>
      <c r="CB39" s="85">
        <f>AY39/Weights!$B$15*8/'Data and calc.'!$BS39*2</f>
        <v>0.1908544611511066</v>
      </c>
      <c r="CC39" s="85">
        <f>AZ39/Weights!$B$16*8/'Data and calc.'!$BS39*2</f>
        <v>1.2152694804115105E-2</v>
      </c>
      <c r="CD39" s="85">
        <f>BA39/Weights!$B$6*8/'Data and calc.'!$BS39*2</f>
        <v>0</v>
      </c>
      <c r="CE39" s="85">
        <f>B39/Weights!$B$19*8/'Data and calc.'!$BS39*2</f>
        <v>2.2268925755914246</v>
      </c>
      <c r="CF39" s="85">
        <f t="shared" si="128"/>
        <v>12.534049739657338</v>
      </c>
      <c r="CG39" s="85">
        <f t="shared" si="129"/>
        <v>1.1060911141517191</v>
      </c>
      <c r="CH39" s="85">
        <f t="shared" si="130"/>
        <v>0.50800806578093516</v>
      </c>
      <c r="CI39" s="85">
        <f>AR39/Weights!$B$5*2+AS39/Weights!$B$7*2+AT39/Weights!$B$8*3+'Data and calc.'!BC39/Weights!$B$20*3+'Data and calc.'!BD39/Weights!$B$10+'Data and calc.'!AV39/Weights!$B$11+'Data and calc.'!AW39/Weights!$B$13+'Data and calc.'!AX39/Weights!$B$14+'Data and calc.'!AY39/Weights!$B$15+AZ39/Weights!$B$16+'Data and calc.'!BA39/Weights!$B$6*5</f>
        <v>2.5954949995419101</v>
      </c>
      <c r="CJ39" s="84">
        <f>AR39/Weights!$B$5*8/'Data and calc.'!$CI39</f>
        <v>2.3777130827008173</v>
      </c>
      <c r="CK39" s="85">
        <f>AS39/Weights!$B$7*8/'Data and calc.'!$CI39</f>
        <v>3.3301573600776867E-2</v>
      </c>
      <c r="CL39" s="85">
        <f>AT39/Weights!$B$8*8/'Data and calc.'!$CI39*2</f>
        <v>1.0135891686455785</v>
      </c>
      <c r="CM39" s="85">
        <f>BC39/Weights!$B$20*8/'Data and calc.'!$CI39*2</f>
        <v>0.2155477700210362</v>
      </c>
      <c r="CN39" s="85">
        <f>BD39/Weights!$B$10*8/'Data and calc.'!$CI39</f>
        <v>0.15438613710304366</v>
      </c>
      <c r="CO39" s="85">
        <f>AV39/Weights!$B$11*8/'Data and calc.'!$CI39</f>
        <v>6.6951473187016686E-3</v>
      </c>
      <c r="CP39" s="85">
        <f>AW39/Weights!$B$13*8/'Data and calc.'!$CI39</f>
        <v>0.49177692688599495</v>
      </c>
      <c r="CQ39" s="85">
        <f>AX39/Weights!$B$14*8/'Data and calc.'!$CI39</f>
        <v>0.5634919747411069</v>
      </c>
      <c r="CR39" s="85">
        <f>AY39/Weights!$B$15*8/'Data and calc.'!$CI39*2</f>
        <v>0.22171259428398976</v>
      </c>
      <c r="CS39" s="85">
        <f>AZ39/Weights!$B$16*8/'Data and calc.'!$CI39*2</f>
        <v>1.411759241209804E-2</v>
      </c>
      <c r="CT39" s="85">
        <f>BA39/Weights!$B$6*8/'Data and calc.'!$CI39*2</f>
        <v>0</v>
      </c>
      <c r="CU39" s="85">
        <f t="shared" si="131"/>
        <v>8.0000000000000018</v>
      </c>
      <c r="CV39" s="85">
        <f t="shared" si="132"/>
        <v>14.560606379872835</v>
      </c>
      <c r="CW39" s="85">
        <f t="shared" si="133"/>
        <v>0.39542133962685572</v>
      </c>
      <c r="CX39" s="113"/>
      <c r="CY39" s="90">
        <f t="shared" si="88"/>
        <v>8.6425312165284818E-2</v>
      </c>
      <c r="CZ39" s="91">
        <f t="shared" si="134"/>
        <v>7.9550164376266279</v>
      </c>
      <c r="DA39" s="85">
        <f t="shared" si="135"/>
        <v>0.3950164376266283</v>
      </c>
      <c r="DB39" s="85">
        <f t="shared" si="136"/>
        <v>0.3950164376266283</v>
      </c>
      <c r="DC39" s="85">
        <f t="shared" si="137"/>
        <v>0.15603798599523191</v>
      </c>
      <c r="DD39" s="117"/>
      <c r="DE39" s="97"/>
      <c r="DF39" s="91">
        <f t="shared" si="138"/>
        <v>7.8965766582306101</v>
      </c>
      <c r="DG39" s="85">
        <f t="shared" si="139"/>
        <v>0.33657665823061045</v>
      </c>
      <c r="DH39" s="85">
        <f t="shared" si="140"/>
        <v>0.33657665823061045</v>
      </c>
      <c r="DI39" s="85">
        <f t="shared" si="141"/>
        <v>0.11328384686568516</v>
      </c>
      <c r="DJ39" s="79"/>
      <c r="DK39" s="117"/>
      <c r="DL39" s="99">
        <f>'Eq. 3 coef.'!$B$15+'Eq. 3 coef.'!$B$16*'Data and calc.'!G39^2+'Eq. 3 coef.'!$B$17*'Data and calc.'!G39+'Eq. 3 coef.'!$B$18*'Data and calc.'!BF39+'Eq. 3 coef.'!$B$19*'Data and calc.'!BG39+'Eq. 3 coef.'!$B$20*'Data and calc.'!BH39+'Eq. 3 coef.'!$B$21*'Data and calc.'!BI39+'Eq. 3 coef.'!$B$22*'Data and calc.'!BJ39+'Eq. 3 coef.'!$B$23*'Data and calc.'!BK39+'Eq. 3 coef.'!$B$24*'Data and calc.'!BL39+'Eq. 3 coef.'!$B$25*'Data and calc.'!BM39+'Eq. 3 coef.'!$B$26*'Data and calc.'!BN39+'Eq. 3 coef.'!$B$27*'Data and calc.'!BO39+'Eq. 3 coef.'!$B$28*'Data and calc.'!BP39</f>
        <v>7.9755732649136917</v>
      </c>
      <c r="DM39" s="85">
        <f t="shared" si="142"/>
        <v>0.41557326491369206</v>
      </c>
      <c r="DN39" s="85">
        <f t="shared" si="143"/>
        <v>0.41557326491369206</v>
      </c>
      <c r="DO39" s="85">
        <f t="shared" si="33"/>
        <v>0.17270113851102567</v>
      </c>
      <c r="DP39" s="117"/>
      <c r="DQ39" s="99">
        <f>'Eq. 4 coef.'!$B$15+'Eq. 4 coef.'!$B$16*'Data and calc.'!G39^2+'Eq. 4 coef.'!$B$17*'Data and calc.'!G39+'Eq. 4 coef.'!$B$18*'Data and calc.'!O39+'Eq. 4 coef.'!$B$19*'Data and calc.'!P39+'Eq. 4 coef.'!$B$20*'Data and calc.'!Q39+'Eq. 4 coef.'!$B$21*'Data and calc.'!R39+'Eq. 4 coef.'!$B$22*'Data and calc.'!S39+'Eq. 4 coef.'!$B$23*'Data and calc.'!T39+'Eq. 4 coef.'!$B$24*'Data and calc.'!U39+'Eq. 4 coef.'!$B$25*'Data and calc.'!V39+'Eq. 4 coef.'!$B$26*'Data and calc.'!W39+'Eq. 4 coef.'!$B$27*'Data and calc.'!X39</f>
        <v>8.0314568587739359</v>
      </c>
      <c r="DR39" s="85">
        <f t="shared" si="144"/>
        <v>0.47145685877393628</v>
      </c>
      <c r="DS39" s="85">
        <f t="shared" si="145"/>
        <v>0.47145685877393628</v>
      </c>
      <c r="DT39" s="85">
        <f t="shared" si="146"/>
        <v>0.22227156968498729</v>
      </c>
      <c r="DU39" s="53"/>
    </row>
    <row r="40" spans="1:125" ht="15" x14ac:dyDescent="0.2">
      <c r="A40" s="66" t="s">
        <v>572</v>
      </c>
      <c r="B40" s="73">
        <v>6.25</v>
      </c>
      <c r="C40" s="73">
        <v>0.12</v>
      </c>
      <c r="D40" s="126">
        <f t="shared" si="111"/>
        <v>1.92</v>
      </c>
      <c r="E40" s="72">
        <f t="shared" si="112"/>
        <v>6.6666666666666666E-2</v>
      </c>
      <c r="F40" s="64">
        <f t="shared" si="113"/>
        <v>64.26044706017575</v>
      </c>
      <c r="G40" s="73">
        <v>8.0162614141615762</v>
      </c>
      <c r="H40" s="73">
        <v>4.4310321183026254E-2</v>
      </c>
      <c r="I40" s="126">
        <f t="shared" si="106"/>
        <v>0.55275544164200252</v>
      </c>
      <c r="J40" s="70">
        <v>1250</v>
      </c>
      <c r="K40" s="70">
        <v>300</v>
      </c>
      <c r="L40" s="73">
        <v>1</v>
      </c>
      <c r="M40" s="70">
        <v>2.6</v>
      </c>
      <c r="N40" s="64">
        <f t="shared" si="114"/>
        <v>2.6</v>
      </c>
      <c r="O40" s="76">
        <v>50.418502202643168</v>
      </c>
      <c r="P40" s="73">
        <v>0.91409691629955925</v>
      </c>
      <c r="Q40" s="73">
        <v>18.204845814977972</v>
      </c>
      <c r="R40" s="73">
        <v>9.4052863436123335</v>
      </c>
      <c r="S40" s="73">
        <v>0.16519823788546253</v>
      </c>
      <c r="T40" s="73">
        <v>7.0264317180616738</v>
      </c>
      <c r="U40" s="73">
        <v>11.255506607929515</v>
      </c>
      <c r="V40" s="73">
        <v>2.3898678414096914</v>
      </c>
      <c r="W40" s="73">
        <v>0.22026431718061673</v>
      </c>
      <c r="X40" s="73">
        <v>0</v>
      </c>
      <c r="Y40" s="73">
        <f t="shared" si="110"/>
        <v>100</v>
      </c>
      <c r="Z40" s="73">
        <v>2.6101321585903081</v>
      </c>
      <c r="AA40" s="73">
        <v>1.5022270040062986</v>
      </c>
      <c r="AB40" s="59">
        <f t="shared" si="115"/>
        <v>6.0037092356712991</v>
      </c>
      <c r="AC40" s="60">
        <f t="shared" si="116"/>
        <v>3.9965392844490015</v>
      </c>
      <c r="AD40" s="57">
        <f t="shared" si="117"/>
        <v>100.59496217650796</v>
      </c>
      <c r="AE40" s="57"/>
      <c r="AF40" s="57">
        <f t="shared" si="118"/>
        <v>47.267345814977972</v>
      </c>
      <c r="AG40" s="57">
        <f t="shared" si="118"/>
        <v>0.85696585903083677</v>
      </c>
      <c r="AH40" s="57">
        <f t="shared" si="118"/>
        <v>17.067042951541847</v>
      </c>
      <c r="AI40" s="57">
        <f t="shared" si="118"/>
        <v>8.8174559471365619</v>
      </c>
      <c r="AJ40" s="57">
        <f t="shared" si="118"/>
        <v>0.15487334801762112</v>
      </c>
      <c r="AK40" s="57">
        <f t="shared" si="118"/>
        <v>6.5872797356828183</v>
      </c>
      <c r="AL40" s="57">
        <f t="shared" si="118"/>
        <v>10.552037444933921</v>
      </c>
      <c r="AM40" s="57">
        <f t="shared" si="118"/>
        <v>2.2405011013215859</v>
      </c>
      <c r="AN40" s="57">
        <f t="shared" si="118"/>
        <v>0.20649779735682819</v>
      </c>
      <c r="AO40" s="57">
        <f t="shared" si="118"/>
        <v>0</v>
      </c>
      <c r="AP40" s="57">
        <f t="shared" si="119"/>
        <v>93.749999999999986</v>
      </c>
      <c r="AQ40" s="57"/>
      <c r="AR40" s="84">
        <f t="shared" si="120"/>
        <v>46.987786259157581</v>
      </c>
      <c r="AS40" s="85">
        <f t="shared" si="120"/>
        <v>0.85189739176716428</v>
      </c>
      <c r="AT40" s="85">
        <f t="shared" si="120"/>
        <v>16.966101067362924</v>
      </c>
      <c r="AU40" s="85">
        <f t="shared" si="120"/>
        <v>8.7653056936043185</v>
      </c>
      <c r="AV40" s="85">
        <f t="shared" si="120"/>
        <v>0.15395735995792129</v>
      </c>
      <c r="AW40" s="85">
        <f t="shared" si="120"/>
        <v>6.5483197102102517</v>
      </c>
      <c r="AX40" s="85">
        <f t="shared" si="120"/>
        <v>10.489628125133038</v>
      </c>
      <c r="AY40" s="85">
        <f t="shared" si="120"/>
        <v>2.2272498073912614</v>
      </c>
      <c r="AZ40" s="85">
        <f t="shared" si="120"/>
        <v>0.20527647994389508</v>
      </c>
      <c r="BA40" s="85">
        <f t="shared" si="120"/>
        <v>0</v>
      </c>
      <c r="BB40" s="85">
        <f t="shared" si="121"/>
        <v>93.195521894528341</v>
      </c>
      <c r="BC40" s="85">
        <f t="shared" si="122"/>
        <v>5.5951881552138669</v>
      </c>
      <c r="BD40" s="85">
        <f t="shared" si="122"/>
        <v>3.7245956438620964</v>
      </c>
      <c r="BE40" s="85">
        <f t="shared" si="123"/>
        <v>99.999999999999986</v>
      </c>
      <c r="BF40" s="84">
        <f t="shared" si="124"/>
        <v>50.120305343101421</v>
      </c>
      <c r="BG40" s="85">
        <f t="shared" si="124"/>
        <v>0.90869055121830855</v>
      </c>
      <c r="BH40" s="85">
        <f t="shared" si="124"/>
        <v>18.097174471853787</v>
      </c>
      <c r="BI40" s="85">
        <f t="shared" si="125"/>
        <v>5.9682006988947913</v>
      </c>
      <c r="BJ40" s="85">
        <f t="shared" si="125"/>
        <v>3.9729020201195695</v>
      </c>
      <c r="BK40" s="85">
        <f t="shared" si="126"/>
        <v>0.16422118395511603</v>
      </c>
      <c r="BL40" s="85">
        <f t="shared" si="126"/>
        <v>6.9848743575576018</v>
      </c>
      <c r="BM40" s="85">
        <f t="shared" si="126"/>
        <v>11.188936666808575</v>
      </c>
      <c r="BN40" s="85">
        <f t="shared" si="126"/>
        <v>2.3757331278840121</v>
      </c>
      <c r="BO40" s="85">
        <f t="shared" si="126"/>
        <v>0.21896157860682142</v>
      </c>
      <c r="BP40" s="85">
        <f t="shared" si="126"/>
        <v>0</v>
      </c>
      <c r="BQ40" s="85">
        <f t="shared" si="127"/>
        <v>100.00000000000001</v>
      </c>
      <c r="BR40" s="85"/>
      <c r="BS40" s="82">
        <f>AR40/Weights!$B$5*2+AS40/Weights!$B$7*2+AT40/Weights!$B$8*3+'Data and calc.'!BC40/Weights!$B$20*3+'Data and calc.'!BD40/Weights!$B$10+'Data and calc.'!AV40/Weights!$B$11+'Data and calc.'!AW40/Weights!$B$13+'Data and calc.'!AX40/Weights!$B$14+'Data and calc.'!AY40/Weights!$B$15+AZ40/Weights!$B$16+B40/Weights!$B$19+'Data and calc.'!BA40/Weights!$B$6*5</f>
        <v>2.9783352122428379</v>
      </c>
      <c r="BT40" s="84">
        <f>AR40/Weights!$B$5*8/'Data and calc.'!$BS40</f>
        <v>2.1006310768253136</v>
      </c>
      <c r="BU40" s="85">
        <f>AS40/Weights!$B$7*8/'Data and calc.'!$BS40</f>
        <v>2.8651489433412079E-2</v>
      </c>
      <c r="BV40" s="85">
        <f>AT40/Weights!$B$8*8/'Data and calc.'!$BS40*2</f>
        <v>0.89391927451607744</v>
      </c>
      <c r="BW40" s="85">
        <f>BC40/Weights!$B$20*8/'Data and calc.'!$BS40*2</f>
        <v>0.18823116932143247</v>
      </c>
      <c r="BX40" s="85">
        <f>BD40/Weights!$B$10*8/'Data and calc.'!$BS40</f>
        <v>0.13925315311200753</v>
      </c>
      <c r="BY40" s="85">
        <f>AV40/Weights!$B$11*8/'Data and calc.'!$BS40</f>
        <v>5.8296674181190864E-3</v>
      </c>
      <c r="BZ40" s="85">
        <f>AW40/Weights!$B$13*8/'Data and calc.'!$BS40</f>
        <v>0.43641345888609612</v>
      </c>
      <c r="CA40" s="85">
        <f>AX40/Weights!$B$14*8/'Data and calc.'!$BS40</f>
        <v>0.50244870490653759</v>
      </c>
      <c r="CB40" s="85">
        <f>AY40/Weights!$B$15*8/'Data and calc.'!$BS40*2</f>
        <v>0.1930518666069736</v>
      </c>
      <c r="CC40" s="85">
        <f>AZ40/Weights!$B$16*8/'Data and calc.'!$BS40*2</f>
        <v>1.1707252402291406E-2</v>
      </c>
      <c r="CD40" s="85">
        <f>BA40/Weights!$B$6*8/'Data and calc.'!$BS40*2</f>
        <v>0</v>
      </c>
      <c r="CE40" s="85">
        <f>B40/Weights!$B$19*8/'Data and calc.'!$BS40*2</f>
        <v>1.863769315797781</v>
      </c>
      <c r="CF40" s="85">
        <f t="shared" si="128"/>
        <v>12.845732040384942</v>
      </c>
      <c r="CG40" s="85">
        <f t="shared" si="129"/>
        <v>0.98219951955981677</v>
      </c>
      <c r="CH40" s="85">
        <f t="shared" si="130"/>
        <v>0.41415833980621497</v>
      </c>
      <c r="CI40" s="85">
        <f>AR40/Weights!$B$5*2+AS40/Weights!$B$7*2+AT40/Weights!$B$8*3+'Data and calc.'!BC40/Weights!$B$20*3+'Data and calc.'!BD40/Weights!$B$10+'Data and calc.'!AV40/Weights!$B$11+'Data and calc.'!AW40/Weights!$B$13+'Data and calc.'!AX40/Weights!$B$14+'Data and calc.'!AY40/Weights!$B$15+AZ40/Weights!$B$16+'Data and calc.'!BA40/Weights!$B$6*5</f>
        <v>2.6314021009466959</v>
      </c>
      <c r="CJ40" s="84">
        <f>AR40/Weights!$B$5*8/'Data and calc.'!$CI40</f>
        <v>2.3775855091814249</v>
      </c>
      <c r="CK40" s="85">
        <f>AS40/Weights!$B$7*8/'Data and calc.'!$CI40</f>
        <v>3.2429000429859953E-2</v>
      </c>
      <c r="CL40" s="85">
        <f>AT40/Weights!$B$8*8/'Data and calc.'!$CI40*2</f>
        <v>1.0117766688853673</v>
      </c>
      <c r="CM40" s="85">
        <f>BC40/Weights!$B$20*8/'Data and calc.'!$CI40*2</f>
        <v>0.2130482146495111</v>
      </c>
      <c r="CN40" s="85">
        <f>BD40/Weights!$B$10*8/'Data and calc.'!$CI40</f>
        <v>0.15761276818169448</v>
      </c>
      <c r="CO40" s="85">
        <f>AV40/Weights!$B$11*8/'Data and calc.'!$CI40</f>
        <v>6.598270838501767E-3</v>
      </c>
      <c r="CP40" s="85">
        <f>AW40/Weights!$B$13*8/'Data and calc.'!$CI40</f>
        <v>0.49395171161014501</v>
      </c>
      <c r="CQ40" s="85">
        <f>AX40/Weights!$B$14*8/'Data and calc.'!$CI40</f>
        <v>0.56869327178486784</v>
      </c>
      <c r="CR40" s="85">
        <f>AY40/Weights!$B$15*8/'Data and calc.'!$CI40*2</f>
        <v>0.21850448925988902</v>
      </c>
      <c r="CS40" s="85">
        <f>AZ40/Weights!$B$16*8/'Data and calc.'!$CI40*2</f>
        <v>1.3250776859916085E-2</v>
      </c>
      <c r="CT40" s="85">
        <f>BA40/Weights!$B$6*8/'Data and calc.'!$CI40*2</f>
        <v>0</v>
      </c>
      <c r="CU40" s="85">
        <f t="shared" si="131"/>
        <v>7.9999999999999991</v>
      </c>
      <c r="CV40" s="85">
        <f t="shared" si="132"/>
        <v>14.539357572584652</v>
      </c>
      <c r="CW40" s="85">
        <f t="shared" si="133"/>
        <v>0.40184510770118986</v>
      </c>
      <c r="CX40" s="113"/>
      <c r="CY40" s="90">
        <f t="shared" si="88"/>
        <v>6.5350010775931167E-2</v>
      </c>
      <c r="CZ40" s="91">
        <f t="shared" si="134"/>
        <v>6.1341352714995985</v>
      </c>
      <c r="DA40" s="85">
        <f t="shared" si="135"/>
        <v>-0.11586472850040153</v>
      </c>
      <c r="DB40" s="85">
        <f t="shared" si="136"/>
        <v>0.11586472850040153</v>
      </c>
      <c r="DC40" s="85">
        <f t="shared" si="137"/>
        <v>1.3424635310471758E-2</v>
      </c>
      <c r="DD40" s="117"/>
      <c r="DE40" s="97"/>
      <c r="DF40" s="91">
        <f t="shared" si="138"/>
        <v>6.126166460053919</v>
      </c>
      <c r="DG40" s="85">
        <f t="shared" si="139"/>
        <v>-0.12383353994608104</v>
      </c>
      <c r="DH40" s="85">
        <f t="shared" si="140"/>
        <v>0.12383353994608104</v>
      </c>
      <c r="DI40" s="85">
        <f t="shared" si="141"/>
        <v>1.5334745615577648E-2</v>
      </c>
      <c r="DK40" s="117"/>
      <c r="DL40" s="99">
        <f>'Eq. 3 coef.'!$B$15+'Eq. 3 coef.'!$B$16*'Data and calc.'!G40^2+'Eq. 3 coef.'!$B$17*'Data and calc.'!G40+'Eq. 3 coef.'!$B$18*'Data and calc.'!BF40+'Eq. 3 coef.'!$B$19*'Data and calc.'!BG40+'Eq. 3 coef.'!$B$20*'Data and calc.'!BH40+'Eq. 3 coef.'!$B$21*'Data and calc.'!BI40+'Eq. 3 coef.'!$B$22*'Data and calc.'!BJ40+'Eq. 3 coef.'!$B$23*'Data and calc.'!BK40+'Eq. 3 coef.'!$B$24*'Data and calc.'!BL40+'Eq. 3 coef.'!$B$25*'Data and calc.'!BM40+'Eq. 3 coef.'!$B$26*'Data and calc.'!BN40+'Eq. 3 coef.'!$B$27*'Data and calc.'!BO40+'Eq. 3 coef.'!$B$28*'Data and calc.'!BP40</f>
        <v>6.307257407990619</v>
      </c>
      <c r="DM40" s="85">
        <f t="shared" si="142"/>
        <v>5.7257407990618958E-2</v>
      </c>
      <c r="DN40" s="85">
        <f t="shared" si="143"/>
        <v>5.7257407990618958E-2</v>
      </c>
      <c r="DO40" s="85">
        <f t="shared" si="33"/>
        <v>3.2784107698041959E-3</v>
      </c>
      <c r="DP40" s="117"/>
      <c r="DQ40" s="99">
        <f>'Eq. 4 coef.'!$B$15+'Eq. 4 coef.'!$B$16*'Data and calc.'!G40^2+'Eq. 4 coef.'!$B$17*'Data and calc.'!G40+'Eq. 4 coef.'!$B$18*'Data and calc.'!O40+'Eq. 4 coef.'!$B$19*'Data and calc.'!P40+'Eq. 4 coef.'!$B$20*'Data and calc.'!Q40+'Eq. 4 coef.'!$B$21*'Data and calc.'!R40+'Eq. 4 coef.'!$B$22*'Data and calc.'!S40+'Eq. 4 coef.'!$B$23*'Data and calc.'!T40+'Eq. 4 coef.'!$B$24*'Data and calc.'!U40+'Eq. 4 coef.'!$B$25*'Data and calc.'!V40+'Eq. 4 coef.'!$B$26*'Data and calc.'!W40+'Eq. 4 coef.'!$B$27*'Data and calc.'!X40</f>
        <v>6.3116895019372805</v>
      </c>
      <c r="DR40" s="85">
        <f t="shared" si="144"/>
        <v>6.1689501937280511E-2</v>
      </c>
      <c r="DS40" s="85">
        <f t="shared" si="145"/>
        <v>6.1689501937280511E-2</v>
      </c>
      <c r="DT40" s="85">
        <f t="shared" si="146"/>
        <v>3.8055946492697359E-3</v>
      </c>
    </row>
    <row r="41" spans="1:125" ht="15" x14ac:dyDescent="0.2">
      <c r="A41" s="66" t="s">
        <v>573</v>
      </c>
      <c r="B41" s="73">
        <v>4.2</v>
      </c>
      <c r="C41" s="73">
        <v>0.12</v>
      </c>
      <c r="D41" s="126">
        <f t="shared" si="111"/>
        <v>2.8571428571428572</v>
      </c>
      <c r="E41" s="72">
        <f t="shared" si="112"/>
        <v>4.3841336116910233E-2</v>
      </c>
      <c r="F41" s="64">
        <f t="shared" si="113"/>
        <v>32.088123158678265</v>
      </c>
      <c r="G41" s="73">
        <v>5.6646379547750678</v>
      </c>
      <c r="H41" s="73">
        <v>6.9201252420099169E-2</v>
      </c>
      <c r="I41" s="126">
        <f t="shared" si="106"/>
        <v>1.2216359275311712</v>
      </c>
      <c r="J41" s="70">
        <v>1250</v>
      </c>
      <c r="K41" s="70">
        <v>300</v>
      </c>
      <c r="L41" s="73">
        <v>0.70033717992348765</v>
      </c>
      <c r="M41" s="70">
        <v>2.6</v>
      </c>
      <c r="N41" s="64">
        <f t="shared" si="114"/>
        <v>2.2906143660959231</v>
      </c>
      <c r="O41" s="76">
        <v>50.411319512997707</v>
      </c>
      <c r="P41" s="73">
        <v>0.92135570911484055</v>
      </c>
      <c r="Q41" s="73">
        <v>18.460019743336623</v>
      </c>
      <c r="R41" s="73">
        <v>9.0599978062959323</v>
      </c>
      <c r="S41" s="73">
        <v>0.17549632554568392</v>
      </c>
      <c r="T41" s="73">
        <v>7.129538225293409</v>
      </c>
      <c r="U41" s="73">
        <v>11.089174070417901</v>
      </c>
      <c r="V41" s="73">
        <v>2.5008226390259956</v>
      </c>
      <c r="W41" s="73">
        <v>0.25227596797192064</v>
      </c>
      <c r="X41" s="73">
        <v>0</v>
      </c>
      <c r="Y41" s="73">
        <f t="shared" si="110"/>
        <v>100</v>
      </c>
      <c r="Z41" s="73">
        <v>2.7530986069979164</v>
      </c>
      <c r="AA41" s="73">
        <v>1.2300482581832326</v>
      </c>
      <c r="AB41" s="59">
        <f t="shared" si="115"/>
        <v>5.2862586379597678</v>
      </c>
      <c r="AC41" s="60">
        <f t="shared" si="116"/>
        <v>4.2976026369628082</v>
      </c>
      <c r="AD41" s="57">
        <f t="shared" si="117"/>
        <v>100.52386346862663</v>
      </c>
      <c r="AE41" s="57"/>
      <c r="AF41" s="57">
        <f t="shared" si="118"/>
        <v>48.294044093451802</v>
      </c>
      <c r="AG41" s="57">
        <f t="shared" si="118"/>
        <v>0.88265876933201726</v>
      </c>
      <c r="AH41" s="57">
        <f t="shared" si="118"/>
        <v>17.684698914116485</v>
      </c>
      <c r="AI41" s="57">
        <f t="shared" si="118"/>
        <v>8.6794778984315037</v>
      </c>
      <c r="AJ41" s="57">
        <f t="shared" si="118"/>
        <v>0.16812547987276522</v>
      </c>
      <c r="AK41" s="57">
        <f t="shared" si="118"/>
        <v>6.8300976198310854</v>
      </c>
      <c r="AL41" s="57">
        <f t="shared" si="118"/>
        <v>10.623428759460348</v>
      </c>
      <c r="AM41" s="57">
        <f t="shared" si="118"/>
        <v>2.3957880881869036</v>
      </c>
      <c r="AN41" s="57">
        <f t="shared" si="118"/>
        <v>0.24168037731709999</v>
      </c>
      <c r="AO41" s="57">
        <f t="shared" si="118"/>
        <v>0</v>
      </c>
      <c r="AP41" s="57">
        <f t="shared" si="119"/>
        <v>95.800000000000011</v>
      </c>
      <c r="AQ41" s="57"/>
      <c r="AR41" s="84">
        <f t="shared" si="120"/>
        <v>48.042367679714495</v>
      </c>
      <c r="AS41" s="85">
        <f t="shared" si="120"/>
        <v>0.8780589393159306</v>
      </c>
      <c r="AT41" s="85">
        <f t="shared" si="120"/>
        <v>17.592538034151321</v>
      </c>
      <c r="AU41" s="85">
        <f t="shared" si="120"/>
        <v>8.6342462366066517</v>
      </c>
      <c r="AV41" s="85">
        <f t="shared" si="120"/>
        <v>0.167249321774463</v>
      </c>
      <c r="AW41" s="85">
        <f t="shared" si="120"/>
        <v>6.7945036970875581</v>
      </c>
      <c r="AX41" s="85">
        <f t="shared" si="120"/>
        <v>10.568066519623876</v>
      </c>
      <c r="AY41" s="85">
        <f t="shared" si="120"/>
        <v>2.3833028352860972</v>
      </c>
      <c r="AZ41" s="85">
        <f t="shared" si="120"/>
        <v>0.24042090005079053</v>
      </c>
      <c r="BA41" s="85">
        <f t="shared" si="120"/>
        <v>0</v>
      </c>
      <c r="BB41" s="85">
        <f t="shared" si="121"/>
        <v>95.300754163611188</v>
      </c>
      <c r="BC41" s="85">
        <f t="shared" si="122"/>
        <v>5.0378443490146978</v>
      </c>
      <c r="BD41" s="85">
        <f t="shared" si="122"/>
        <v>4.0956477239807967</v>
      </c>
      <c r="BE41" s="85">
        <f t="shared" si="123"/>
        <v>100.00000000000001</v>
      </c>
      <c r="BF41" s="84">
        <f t="shared" si="124"/>
        <v>50.14860926901305</v>
      </c>
      <c r="BG41" s="85">
        <f t="shared" si="124"/>
        <v>0.91655421640493806</v>
      </c>
      <c r="BH41" s="85">
        <f t="shared" si="124"/>
        <v>18.363818407256076</v>
      </c>
      <c r="BI41" s="85">
        <f t="shared" si="125"/>
        <v>5.2587101764245281</v>
      </c>
      <c r="BJ41" s="85">
        <f t="shared" si="125"/>
        <v>4.2752063924642973</v>
      </c>
      <c r="BK41" s="85">
        <f t="shared" si="126"/>
        <v>0.17458175550570249</v>
      </c>
      <c r="BL41" s="85">
        <f t="shared" si="126"/>
        <v>7.0923838174191633</v>
      </c>
      <c r="BM41" s="85">
        <f t="shared" si="126"/>
        <v>11.031384676016572</v>
      </c>
      <c r="BN41" s="85">
        <f t="shared" si="126"/>
        <v>2.4877900159562603</v>
      </c>
      <c r="BO41" s="85">
        <f t="shared" si="126"/>
        <v>0.2509612735394473</v>
      </c>
      <c r="BP41" s="85">
        <f t="shared" si="126"/>
        <v>0</v>
      </c>
      <c r="BQ41" s="85">
        <f t="shared" si="127"/>
        <v>100.00000000000004</v>
      </c>
      <c r="BR41" s="85"/>
      <c r="BS41" s="82">
        <f>AR41/Weights!$B$5*2+AS41/Weights!$B$7*2+AT41/Weights!$B$8*3+'Data and calc.'!BC41/Weights!$B$20*3+'Data and calc.'!BD41/Weights!$B$10+'Data and calc.'!AV41/Weights!$B$11+'Data and calc.'!AW41/Weights!$B$13+'Data and calc.'!AX41/Weights!$B$14+'Data and calc.'!AY41/Weights!$B$15+AZ41/Weights!$B$16+B41/Weights!$B$19+'Data and calc.'!BA41/Weights!$B$6*5</f>
        <v>2.9240115648682132</v>
      </c>
      <c r="BT41" s="84">
        <f>AR41/Weights!$B$5*8/'Data and calc.'!$BS41</f>
        <v>2.1876794859467457</v>
      </c>
      <c r="BU41" s="85">
        <f>AS41/Weights!$B$7*8/'Data and calc.'!$BS41</f>
        <v>3.0080016747548961E-2</v>
      </c>
      <c r="BV41" s="85">
        <f>AT41/Weights!$B$8*8/'Data and calc.'!$BS41*2</f>
        <v>0.94414618041531628</v>
      </c>
      <c r="BW41" s="85">
        <f>BC41/Weights!$B$20*8/'Data and calc.'!$BS41*2</f>
        <v>0.17262992424028226</v>
      </c>
      <c r="BX41" s="85">
        <f>BD41/Weights!$B$10*8/'Data and calc.'!$BS41</f>
        <v>0.15597068938659941</v>
      </c>
      <c r="BY41" s="85">
        <f>AV41/Weights!$B$11*8/'Data and calc.'!$BS41</f>
        <v>6.4506307003392169E-3</v>
      </c>
      <c r="BZ41" s="85">
        <f>AW41/Weights!$B$13*8/'Data and calc.'!$BS41</f>
        <v>0.46123312509539055</v>
      </c>
      <c r="CA41" s="85">
        <f>AX41/Weights!$B$14*8/'Data and calc.'!$BS41</f>
        <v>0.51561039868139846</v>
      </c>
      <c r="CB41" s="85">
        <f>AY41/Weights!$B$15*8/'Data and calc.'!$BS41*2</f>
        <v>0.21041601668583848</v>
      </c>
      <c r="CC41" s="85">
        <f>AZ41/Weights!$B$16*8/'Data and calc.'!$BS41*2</f>
        <v>1.3966336402400189E-2</v>
      </c>
      <c r="CD41" s="85">
        <f>BA41/Weights!$B$6*8/'Data and calc.'!$BS41*2</f>
        <v>0</v>
      </c>
      <c r="CE41" s="85">
        <f>B41/Weights!$B$19*8/'Data and calc.'!$BS41*2</f>
        <v>1.2757216344403355</v>
      </c>
      <c r="CF41" s="85">
        <f t="shared" si="128"/>
        <v>13.338142429399573</v>
      </c>
      <c r="CG41" s="85">
        <f t="shared" si="129"/>
        <v>0.79826934963094476</v>
      </c>
      <c r="CH41" s="85">
        <f t="shared" si="130"/>
        <v>0.27153512061561963</v>
      </c>
      <c r="CI41" s="85">
        <f>AR41/Weights!$B$5*2+AS41/Weights!$B$7*2+AT41/Weights!$B$8*3+'Data and calc.'!BC41/Weights!$B$20*3+'Data and calc.'!BD41/Weights!$B$10+'Data and calc.'!AV41/Weights!$B$11+'Data and calc.'!AW41/Weights!$B$13+'Data and calc.'!AX41/Weights!$B$14+'Data and calc.'!AY41/Weights!$B$15+AZ41/Weights!$B$16+'Data and calc.'!BA41/Weights!$B$6*5</f>
        <v>2.6908725140772058</v>
      </c>
      <c r="CJ41" s="84">
        <f>AR41/Weights!$B$5*8/'Data and calc.'!$CI41</f>
        <v>2.3772215456765768</v>
      </c>
      <c r="CK41" s="85">
        <f>AS41/Weights!$B$7*8/'Data and calc.'!$CI41</f>
        <v>3.2686170147835973E-2</v>
      </c>
      <c r="CL41" s="85">
        <f>AT41/Weights!$B$8*8/'Data and calc.'!$CI41*2</f>
        <v>1.0259476567611654</v>
      </c>
      <c r="CM41" s="85">
        <f>BC41/Weights!$B$20*8/'Data and calc.'!$CI41*2</f>
        <v>0.18758669995706306</v>
      </c>
      <c r="CN41" s="85">
        <f>BD41/Weights!$B$10*8/'Data and calc.'!$CI41</f>
        <v>0.16948409750407054</v>
      </c>
      <c r="CO41" s="85">
        <f>AV41/Weights!$B$11*8/'Data and calc.'!$CI41</f>
        <v>7.0095177938796389E-3</v>
      </c>
      <c r="CP41" s="85">
        <f>AW41/Weights!$B$13*8/'Data and calc.'!$CI41</f>
        <v>0.50119468121355015</v>
      </c>
      <c r="CQ41" s="85">
        <f>AX41/Weights!$B$14*8/'Data and calc.'!$CI41</f>
        <v>0.56028323929264456</v>
      </c>
      <c r="CR41" s="85">
        <f>AY41/Weights!$B$15*8/'Data and calc.'!$CI41*2</f>
        <v>0.22864660551705415</v>
      </c>
      <c r="CS41" s="85">
        <f>AZ41/Weights!$B$16*8/'Data and calc.'!$CI41*2</f>
        <v>1.5176389422321909E-2</v>
      </c>
      <c r="CT41" s="85">
        <f>BA41/Weights!$B$6*8/'Data and calc.'!$CI41*2</f>
        <v>0</v>
      </c>
      <c r="CU41" s="85">
        <f t="shared" si="131"/>
        <v>8.0000000000000018</v>
      </c>
      <c r="CV41" s="85">
        <f t="shared" si="132"/>
        <v>14.493768290170564</v>
      </c>
      <c r="CW41" s="85">
        <f t="shared" si="133"/>
        <v>0.41569084855618599</v>
      </c>
      <c r="CX41" s="113"/>
      <c r="CY41" s="90">
        <f t="shared" si="88"/>
        <v>4.5102532790613332E-2</v>
      </c>
      <c r="CZ41" s="91">
        <f t="shared" si="134"/>
        <v>4.3156084092707525</v>
      </c>
      <c r="DA41" s="85">
        <f t="shared" si="135"/>
        <v>0.11560840927075233</v>
      </c>
      <c r="DB41" s="85">
        <f t="shared" si="136"/>
        <v>0.11560840927075233</v>
      </c>
      <c r="DC41" s="85">
        <f t="shared" si="137"/>
        <v>1.3365304294113775E-2</v>
      </c>
      <c r="DD41" s="117"/>
      <c r="DE41" s="97"/>
      <c r="DF41" s="91">
        <f t="shared" si="138"/>
        <v>4.3281211445177528</v>
      </c>
      <c r="DG41" s="85">
        <f t="shared" si="139"/>
        <v>0.12812114451775258</v>
      </c>
      <c r="DH41" s="85">
        <f t="shared" si="140"/>
        <v>0.12812114451775258</v>
      </c>
      <c r="DI41" s="85">
        <f t="shared" si="141"/>
        <v>1.6415027672538843E-2</v>
      </c>
      <c r="DK41" s="117"/>
      <c r="DL41" s="99">
        <f>'Eq. 3 coef.'!$B$15+'Eq. 3 coef.'!$B$16*'Data and calc.'!G41^2+'Eq. 3 coef.'!$B$17*'Data and calc.'!G41+'Eq. 3 coef.'!$B$18*'Data and calc.'!BF41+'Eq. 3 coef.'!$B$19*'Data and calc.'!BG41+'Eq. 3 coef.'!$B$20*'Data and calc.'!BH41+'Eq. 3 coef.'!$B$21*'Data and calc.'!BI41+'Eq. 3 coef.'!$B$22*'Data and calc.'!BJ41+'Eq. 3 coef.'!$B$23*'Data and calc.'!BK41+'Eq. 3 coef.'!$B$24*'Data and calc.'!BL41+'Eq. 3 coef.'!$B$25*'Data and calc.'!BM41+'Eq. 3 coef.'!$B$26*'Data and calc.'!BN41+'Eq. 3 coef.'!$B$27*'Data and calc.'!BO41+'Eq. 3 coef.'!$B$28*'Data and calc.'!BP41</f>
        <v>4.531219394440086</v>
      </c>
      <c r="DM41" s="85">
        <f t="shared" si="142"/>
        <v>0.33121939444008586</v>
      </c>
      <c r="DN41" s="85">
        <f t="shared" si="143"/>
        <v>0.33121939444008586</v>
      </c>
      <c r="DO41" s="85">
        <f t="shared" si="33"/>
        <v>0.10970628725325718</v>
      </c>
      <c r="DP41" s="117"/>
      <c r="DQ41" s="99">
        <f>'Eq. 4 coef.'!$B$15+'Eq. 4 coef.'!$B$16*'Data and calc.'!G41^2+'Eq. 4 coef.'!$B$17*'Data and calc.'!G41+'Eq. 4 coef.'!$B$18*'Data and calc.'!O41+'Eq. 4 coef.'!$B$19*'Data and calc.'!P41+'Eq. 4 coef.'!$B$20*'Data and calc.'!Q41+'Eq. 4 coef.'!$B$21*'Data and calc.'!R41+'Eq. 4 coef.'!$B$22*'Data and calc.'!S41+'Eq. 4 coef.'!$B$23*'Data and calc.'!T41+'Eq. 4 coef.'!$B$24*'Data and calc.'!U41+'Eq. 4 coef.'!$B$25*'Data and calc.'!V41+'Eq. 4 coef.'!$B$26*'Data and calc.'!W41+'Eq. 4 coef.'!$B$27*'Data and calc.'!X41</f>
        <v>4.5202508568720532</v>
      </c>
      <c r="DR41" s="85">
        <f t="shared" si="144"/>
        <v>0.32025085687205301</v>
      </c>
      <c r="DS41" s="85">
        <f t="shared" si="145"/>
        <v>0.32025085687205301</v>
      </c>
      <c r="DT41" s="85">
        <f t="shared" si="146"/>
        <v>0.10256061132728418</v>
      </c>
    </row>
    <row r="42" spans="1:125" ht="15" x14ac:dyDescent="0.2">
      <c r="A42" s="66" t="s">
        <v>574</v>
      </c>
      <c r="B42" s="73">
        <v>2.96</v>
      </c>
      <c r="C42" s="73">
        <v>0.09</v>
      </c>
      <c r="D42" s="126">
        <f t="shared" si="111"/>
        <v>3.0405405405405408</v>
      </c>
      <c r="E42" s="72">
        <f t="shared" si="112"/>
        <v>3.050288540807914E-2</v>
      </c>
      <c r="F42" s="64">
        <f t="shared" si="113"/>
        <v>14.405672253294021</v>
      </c>
      <c r="G42" s="73">
        <v>3.7954805036113703</v>
      </c>
      <c r="H42" s="73">
        <v>6.9824450246673539E-2</v>
      </c>
      <c r="I42" s="126">
        <f t="shared" si="106"/>
        <v>1.839673532250689</v>
      </c>
      <c r="L42" s="73"/>
      <c r="O42" s="76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59"/>
      <c r="AC42" s="60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84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4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2"/>
      <c r="BT42" s="84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5"/>
      <c r="CH42" s="85"/>
      <c r="CI42" s="85"/>
      <c r="CJ42" s="84"/>
      <c r="CK42" s="85"/>
      <c r="CL42" s="85"/>
      <c r="CM42" s="85"/>
      <c r="CN42" s="85"/>
      <c r="CO42" s="85"/>
      <c r="CP42" s="85"/>
      <c r="CQ42" s="85"/>
      <c r="CR42" s="85"/>
      <c r="CS42" s="85"/>
      <c r="CT42" s="85"/>
      <c r="CU42" s="85"/>
      <c r="CV42" s="85"/>
      <c r="CW42" s="85"/>
      <c r="CX42" s="113"/>
      <c r="CY42" s="90">
        <f t="shared" si="88"/>
        <v>2.9009087136093896E-2</v>
      </c>
      <c r="CZ42" s="91">
        <f t="shared" si="134"/>
        <v>2.8191283729895025</v>
      </c>
      <c r="DA42" s="85">
        <f t="shared" si="135"/>
        <v>-0.14087162701049749</v>
      </c>
      <c r="DB42" s="85">
        <f t="shared" si="136"/>
        <v>0.14087162701049749</v>
      </c>
      <c r="DC42" s="85">
        <f t="shared" si="137"/>
        <v>1.9844815296584727E-2</v>
      </c>
      <c r="DD42" s="117"/>
      <c r="DE42" s="97"/>
      <c r="DF42" s="91">
        <f t="shared" si="138"/>
        <v>2.8310412034807757</v>
      </c>
      <c r="DG42" s="85">
        <f t="shared" si="139"/>
        <v>-0.12895879651922426</v>
      </c>
      <c r="DH42" s="85">
        <f t="shared" si="140"/>
        <v>0.12895879651922426</v>
      </c>
      <c r="DI42" s="85">
        <f>DG42^2</f>
        <v>1.6630371199686689E-2</v>
      </c>
      <c r="DK42" s="117"/>
      <c r="DL42" s="99"/>
      <c r="DM42" s="85"/>
      <c r="DN42" s="85"/>
      <c r="DO42" s="85"/>
      <c r="DP42" s="117"/>
      <c r="DR42" s="85"/>
      <c r="DS42" s="85"/>
      <c r="DT42" s="85"/>
    </row>
    <row r="43" spans="1:125" s="51" customFormat="1" ht="15" x14ac:dyDescent="0.2">
      <c r="A43" s="66" t="s">
        <v>575</v>
      </c>
      <c r="B43" s="73">
        <v>1.58</v>
      </c>
      <c r="C43" s="73">
        <v>0.1</v>
      </c>
      <c r="D43" s="126">
        <f t="shared" si="111"/>
        <v>6.3291139240506329</v>
      </c>
      <c r="E43" s="72">
        <f t="shared" si="112"/>
        <v>1.6053647632595001E-2</v>
      </c>
      <c r="F43" s="64">
        <f t="shared" si="113"/>
        <v>4.8548815582199012</v>
      </c>
      <c r="G43" s="73">
        <v>2.2033795765187398</v>
      </c>
      <c r="H43" s="73">
        <v>4.3786658814723232E-2</v>
      </c>
      <c r="I43" s="126">
        <f t="shared" si="106"/>
        <v>1.9872499174157079</v>
      </c>
      <c r="J43" s="70"/>
      <c r="K43" s="70"/>
      <c r="L43" s="73"/>
      <c r="M43" s="70"/>
      <c r="N43" s="50"/>
      <c r="O43" s="76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59"/>
      <c r="AC43" s="60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84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4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2"/>
      <c r="BT43" s="84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4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113"/>
      <c r="CY43" s="90">
        <f t="shared" si="88"/>
        <v>1.530109815382635E-2</v>
      </c>
      <c r="CZ43" s="91">
        <f t="shared" si="134"/>
        <v>1.5070502909579349</v>
      </c>
      <c r="DA43" s="85">
        <f t="shared" si="135"/>
        <v>-7.2949709042065214E-2</v>
      </c>
      <c r="DB43" s="85">
        <f t="shared" si="136"/>
        <v>7.2949709042065214E-2</v>
      </c>
      <c r="DC43" s="85">
        <f t="shared" si="137"/>
        <v>5.3216600493219716E-3</v>
      </c>
      <c r="DD43" s="117"/>
      <c r="DE43" s="97"/>
      <c r="DF43" s="91">
        <f t="shared" si="138"/>
        <v>1.5084195743080975</v>
      </c>
      <c r="DG43" s="85">
        <f t="shared" si="139"/>
        <v>-7.1580425691902594E-2</v>
      </c>
      <c r="DH43" s="85">
        <f t="shared" si="140"/>
        <v>7.1580425691902594E-2</v>
      </c>
      <c r="DI43" s="85">
        <f>DG43^2</f>
        <v>5.123757342233989E-3</v>
      </c>
      <c r="DJ43" s="79"/>
      <c r="DK43" s="117"/>
      <c r="DL43" s="99"/>
      <c r="DM43" s="85"/>
      <c r="DN43" s="85"/>
      <c r="DO43" s="85"/>
      <c r="DP43" s="117"/>
      <c r="DQ43" s="81"/>
      <c r="DR43" s="85"/>
      <c r="DS43" s="85"/>
      <c r="DT43" s="85"/>
      <c r="DU43" s="62"/>
    </row>
    <row r="44" spans="1:125" ht="15" x14ac:dyDescent="0.2">
      <c r="A44" s="66" t="s">
        <v>628</v>
      </c>
      <c r="B44" s="73">
        <v>4.22</v>
      </c>
      <c r="C44" s="73">
        <v>0.13</v>
      </c>
      <c r="D44" s="126">
        <f t="shared" si="111"/>
        <v>3.080568720379147</v>
      </c>
      <c r="E44" s="72">
        <f t="shared" si="112"/>
        <v>4.4059302568385882E-2</v>
      </c>
      <c r="F44" s="64">
        <f t="shared" si="113"/>
        <v>23.066269337739506</v>
      </c>
      <c r="G44" s="73">
        <v>4.8027356098102576</v>
      </c>
      <c r="H44" s="73">
        <v>0.10310434688350516</v>
      </c>
      <c r="I44" s="126">
        <f t="shared" si="106"/>
        <v>2.1467837345220531</v>
      </c>
      <c r="J44" s="70">
        <v>1250</v>
      </c>
      <c r="K44" s="70">
        <v>200</v>
      </c>
      <c r="L44" s="73">
        <v>0.88624312820712714</v>
      </c>
      <c r="M44" s="70">
        <v>2.6</v>
      </c>
      <c r="N44" s="64">
        <f t="shared" ref="N44:N65" si="147">M44+2*LOG(L44)</f>
        <v>2.4951057615031584</v>
      </c>
      <c r="O44" s="76">
        <v>50.441429801894913</v>
      </c>
      <c r="P44" s="73">
        <v>0.94745908699397052</v>
      </c>
      <c r="Q44" s="73">
        <v>18.163221360895779</v>
      </c>
      <c r="R44" s="73">
        <v>9.1946597760551221</v>
      </c>
      <c r="S44" s="73">
        <v>0.22609819121447025</v>
      </c>
      <c r="T44" s="73">
        <v>7.0198105081826014</v>
      </c>
      <c r="U44" s="73">
        <v>11.380275624461669</v>
      </c>
      <c r="V44" s="73">
        <v>2.3686477174849268</v>
      </c>
      <c r="W44" s="73">
        <v>0.2583979328165375</v>
      </c>
      <c r="X44" s="73">
        <v>0</v>
      </c>
      <c r="Y44" s="73">
        <f t="shared" ref="Y44:Y73" si="148">SUM(O44:X44)</f>
        <v>100</v>
      </c>
      <c r="Z44" s="73">
        <v>2.6270456503014641</v>
      </c>
      <c r="AA44" s="73">
        <v>1.3903807466755727</v>
      </c>
      <c r="AB44" s="59">
        <f t="shared" ref="AB44:AB65" si="149">(R44-AC44)*1.11</f>
        <v>5.6752662631324915</v>
      </c>
      <c r="AC44" s="60">
        <f t="shared" ref="AC44:AC65" si="150">R44*1.11/(AA44+1.11)</f>
        <v>4.0818072867465718</v>
      </c>
      <c r="AD44" s="57">
        <f t="shared" ref="AD44:AD65" si="151">100-R44+AB44+AC44</f>
        <v>100.56241377382393</v>
      </c>
      <c r="AE44" s="57"/>
      <c r="AF44" s="57">
        <f t="shared" ref="AF44:AF73" si="152">O44*(100-$B44)/100</f>
        <v>48.312801464254946</v>
      </c>
      <c r="AG44" s="57">
        <f t="shared" ref="AG44:AG73" si="153">P44*(100-$B44)/100</f>
        <v>0.90747631352282498</v>
      </c>
      <c r="AH44" s="57">
        <f t="shared" ref="AH44:AH73" si="154">Q44*(100-$B44)/100</f>
        <v>17.396733419465978</v>
      </c>
      <c r="AI44" s="57">
        <f t="shared" ref="AI44:AI73" si="155">R44*(100-$B44)/100</f>
        <v>8.8066451335055955</v>
      </c>
      <c r="AJ44" s="57">
        <f t="shared" ref="AJ44:AJ73" si="156">S44*(100-$B44)/100</f>
        <v>0.21655684754521962</v>
      </c>
      <c r="AK44" s="57">
        <f t="shared" ref="AK44:AK73" si="157">T44*(100-$B44)/100</f>
        <v>6.7235745047372966</v>
      </c>
      <c r="AL44" s="57">
        <f t="shared" ref="AL44:AL73" si="158">U44*(100-$B44)/100</f>
        <v>10.900027993109386</v>
      </c>
      <c r="AM44" s="57">
        <f t="shared" ref="AM44:AM73" si="159">V44*(100-$B44)/100</f>
        <v>2.2686907838070631</v>
      </c>
      <c r="AN44" s="57">
        <f t="shared" ref="AN44:AN73" si="160">W44*(100-$B44)/100</f>
        <v>0.24749354005167962</v>
      </c>
      <c r="AO44" s="57">
        <f t="shared" ref="AO44:AO73" si="161">X44*(100-$B44)/100</f>
        <v>0</v>
      </c>
      <c r="AP44" s="57">
        <f t="shared" ref="AP44:AP73" si="162">SUM(AF44:AO44)</f>
        <v>95.78</v>
      </c>
      <c r="AQ44" s="57"/>
      <c r="AR44" s="84">
        <f t="shared" ref="AR44:AR65" si="163">O44*(100-$B44)/$AD44</f>
        <v>48.042603246294199</v>
      </c>
      <c r="AS44" s="85">
        <f t="shared" ref="AS44:AS65" si="164">P44*(100-$B44)/$AD44</f>
        <v>0.90240108552270859</v>
      </c>
      <c r="AT44" s="85">
        <f t="shared" ref="AT44:AT65" si="165">Q44*(100-$B44)/$AD44</f>
        <v>17.299438991781926</v>
      </c>
      <c r="AU44" s="85">
        <f t="shared" ref="AU44:AU65" si="166">R44*(100-$B44)/$AD44</f>
        <v>8.7573923526862849</v>
      </c>
      <c r="AV44" s="85">
        <f t="shared" ref="AV44:AV65" si="167">S44*(100-$B44)/$AD44</f>
        <v>0.21534571359064636</v>
      </c>
      <c r="AW44" s="85">
        <f t="shared" ref="AW44:AW65" si="168">T44*(100-$B44)/$AD44</f>
        <v>6.6859716791000698</v>
      </c>
      <c r="AX44" s="85">
        <f t="shared" ref="AX44:AX65" si="169">U44*(100-$B44)/$AD44</f>
        <v>10.839067584062533</v>
      </c>
      <c r="AY44" s="85">
        <f t="shared" ref="AY44:AY65" si="170">V44*(100-$B44)/$AD44</f>
        <v>2.256002713806772</v>
      </c>
      <c r="AZ44" s="85">
        <f t="shared" ref="AZ44:AZ65" si="171">W44*(100-$B44)/$AD44</f>
        <v>0.24610938696073878</v>
      </c>
      <c r="BA44" s="85">
        <f t="shared" ref="BA44:BA65" si="172">X44*(100-$B44)/$AD44</f>
        <v>0</v>
      </c>
      <c r="BB44" s="85">
        <f t="shared" ref="BB44:BB65" si="173">SUM(AR44:BA44)</f>
        <v>95.244332753805864</v>
      </c>
      <c r="BC44" s="85">
        <f t="shared" ref="BC44:BC65" si="174">AB44*(100-$B44)/$AD44</f>
        <v>5.4053694843223958</v>
      </c>
      <c r="BD44" s="85">
        <f t="shared" ref="BD44:BD65" si="175">AC44*(100-$B44)/$AD44</f>
        <v>3.887690114558001</v>
      </c>
      <c r="BE44" s="85">
        <f t="shared" ref="BE44:BE65" si="176">BB44+BC44+BD44+B44-AU44</f>
        <v>99.999999999999972</v>
      </c>
      <c r="BF44" s="84">
        <f t="shared" ref="BF44:BF65" si="177">AR44*100/(100-$B44)</f>
        <v>50.159326838895595</v>
      </c>
      <c r="BG44" s="85">
        <f t="shared" ref="BG44:BG65" si="178">AS44*100/(100-$B44)</f>
        <v>0.94216024798779341</v>
      </c>
      <c r="BH44" s="85">
        <f t="shared" ref="BH44:BH65" si="179">AT44*100/(100-$B44)</f>
        <v>18.06164020858418</v>
      </c>
      <c r="BI44" s="85">
        <f t="shared" ref="BI44:BI65" si="180">BC44*100/(100-$B44)</f>
        <v>5.643526293926076</v>
      </c>
      <c r="BJ44" s="85">
        <f t="shared" ref="BJ44:BJ65" si="181">BD44*100/(100-$B44)</f>
        <v>4.0589790296074346</v>
      </c>
      <c r="BK44" s="85">
        <f t="shared" ref="BK44:BK65" si="182">AV44*100/(100-$B44)</f>
        <v>0.2248336955425416</v>
      </c>
      <c r="BL44" s="85">
        <f t="shared" ref="BL44:BL65" si="183">AW44*100/(100-$B44)</f>
        <v>6.9805509282731988</v>
      </c>
      <c r="BM44" s="85">
        <f t="shared" ref="BM44:BM65" si="184">AX44*100/(100-$B44)</f>
        <v>11.316629342307928</v>
      </c>
      <c r="BN44" s="85">
        <f t="shared" ref="BN44:BN65" si="185">AY44*100/(100-$B44)</f>
        <v>2.3554006199694841</v>
      </c>
      <c r="BO44" s="85">
        <f t="shared" ref="BO44:BO65" si="186">AZ44*100/(100-$B44)</f>
        <v>0.25695279490576189</v>
      </c>
      <c r="BP44" s="85">
        <f t="shared" ref="BP44:BP65" si="187">BA44*100/(100-$B44)</f>
        <v>0</v>
      </c>
      <c r="BQ44" s="85">
        <f t="shared" ref="BQ44:BQ65" si="188">SUM(BF44:BP44)</f>
        <v>100</v>
      </c>
      <c r="BR44" s="85"/>
      <c r="BS44" s="82">
        <f>AR44/Weights!$B$5*2+AS44/Weights!$B$7*2+AT44/Weights!$B$8*3+'Data and calc.'!BC44/Weights!$B$20*3+'Data and calc.'!BD44/Weights!$B$10+'Data and calc.'!AV44/Weights!$B$11+'Data and calc.'!AW44/Weights!$B$13+'Data and calc.'!AX44/Weights!$B$14+'Data and calc.'!AY44/Weights!$B$15+AZ44/Weights!$B$16+B44/Weights!$B$19+'Data and calc.'!BA44/Weights!$B$6*5</f>
        <v>2.9219495622339657</v>
      </c>
      <c r="BT44" s="84">
        <f>AR44/Weights!$B$5*8/'Data and calc.'!$BS44</f>
        <v>2.1892340529420111</v>
      </c>
      <c r="BU44" s="85">
        <f>AS44/Weights!$B$7*8/'Data and calc.'!$BS44</f>
        <v>3.093573116762741E-2</v>
      </c>
      <c r="BV44" s="85">
        <f>AT44/Weights!$B$8*8/'Data and calc.'!$BS44*2</f>
        <v>0.92907148805993944</v>
      </c>
      <c r="BW44" s="85">
        <f>BC44/Weights!$B$20*8/'Data and calc.'!$BS44*2</f>
        <v>0.18535448163814019</v>
      </c>
      <c r="BX44" s="85">
        <f>BD44/Weights!$B$10*8/'Data and calc.'!$BS44</f>
        <v>0.14815571477310135</v>
      </c>
      <c r="BY44" s="85">
        <f>AV44/Weights!$B$11*8/'Data and calc.'!$BS44</f>
        <v>8.3115192772766321E-3</v>
      </c>
      <c r="BZ44" s="85">
        <f>AW44/Weights!$B$13*8/'Data and calc.'!$BS44</f>
        <v>0.45418590717537377</v>
      </c>
      <c r="CA44" s="85">
        <f>AX44/Weights!$B$14*8/'Data and calc.'!$BS44</f>
        <v>0.52920559177875737</v>
      </c>
      <c r="CB44" s="85">
        <f>AY44/Weights!$B$15*8/'Data and calc.'!$BS44*2</f>
        <v>0.19931755629497078</v>
      </c>
      <c r="CC44" s="85">
        <f>AZ44/Weights!$B$16*8/'Data and calc.'!$BS44*2</f>
        <v>1.4306876540281732E-2</v>
      </c>
      <c r="CD44" s="85">
        <f>BA44/Weights!$B$6*8/'Data and calc.'!$BS44*2</f>
        <v>0</v>
      </c>
      <c r="CE44" s="85">
        <f>B44/Weights!$B$19*8/'Data and calc.'!$BS44*2</f>
        <v>1.2827010556229355</v>
      </c>
      <c r="CF44" s="85">
        <f t="shared" ref="CF44:CF65" si="189">SUM(BT44:BW44)*4</f>
        <v>13.338383015230873</v>
      </c>
      <c r="CG44" s="85">
        <f t="shared" ref="CG44:CG65" si="190">(16-CF44)/SUM(BT44:BW44)</f>
        <v>0.79818280273699505</v>
      </c>
      <c r="CH44" s="85">
        <f t="shared" ref="CH44:CH65" si="191">CE44/SUM(BT44:CD44)</f>
        <v>0.2736091003603216</v>
      </c>
      <c r="CI44" s="85">
        <f>AR44/Weights!$B$5*2+AS44/Weights!$B$7*2+AT44/Weights!$B$8*3+'Data and calc.'!BC44/Weights!$B$20*3+'Data and calc.'!BD44/Weights!$B$10+'Data and calc.'!AV44/Weights!$B$11+'Data and calc.'!AW44/Weights!$B$13+'Data and calc.'!AX44/Weights!$B$14+'Data and calc.'!AY44/Weights!$B$15+AZ44/Weights!$B$16+'Data and calc.'!BA44/Weights!$B$6*5</f>
        <v>2.6877003254868108</v>
      </c>
      <c r="CJ44" s="84">
        <f>AR44/Weights!$B$5*8/'Data and calc.'!$CI44</f>
        <v>2.380038958198575</v>
      </c>
      <c r="CK44" s="85">
        <f>AS44/Weights!$B$7*8/'Data and calc.'!$CI44</f>
        <v>3.3631966066106779E-2</v>
      </c>
      <c r="CL44" s="85">
        <f>AT44/Weights!$B$8*8/'Data and calc.'!$CI44*2</f>
        <v>1.0100456520684082</v>
      </c>
      <c r="CM44" s="85">
        <f>BC44/Weights!$B$20*8/'Data and calc.'!$CI44*2</f>
        <v>0.20150923871416748</v>
      </c>
      <c r="CN44" s="85">
        <f>BD44/Weights!$B$10*8/'Data and calc.'!$CI44</f>
        <v>0.16106837574807154</v>
      </c>
      <c r="CO44" s="85">
        <f>AV44/Weights!$B$11*8/'Data and calc.'!$CI44</f>
        <v>9.0359181354561328E-3</v>
      </c>
      <c r="CP44" s="85">
        <f>AW44/Weights!$B$13*8/'Data and calc.'!$CI44</f>
        <v>0.4937709386940477</v>
      </c>
      <c r="CQ44" s="85">
        <f>AX44/Weights!$B$14*8/'Data and calc.'!$CI44</f>
        <v>0.57532903968735072</v>
      </c>
      <c r="CR44" s="85">
        <f>AY44/Weights!$B$15*8/'Data and calc.'!$CI44*2</f>
        <v>0.21668927924698858</v>
      </c>
      <c r="CS44" s="85">
        <f>AZ44/Weights!$B$16*8/'Data and calc.'!$CI44*2</f>
        <v>1.555380681670299E-2</v>
      </c>
      <c r="CT44" s="85">
        <f>BA44/Weights!$B$6*8/'Data and calc.'!$CI44*2</f>
        <v>0</v>
      </c>
      <c r="CU44" s="85">
        <f t="shared" ref="CU44:CU65" si="192">CJ44*2+CK44*2+CL44*1.5+CM44*1.5+CN44+CO44+CP44+CQ44+CR44*0.5+CS44*0.5+CT44*2.5</f>
        <v>7.9999999999999991</v>
      </c>
      <c r="CV44" s="85">
        <f t="shared" ref="CV44:CV65" si="193">SUM(CJ44:CM44)*4</f>
        <v>14.50090326018903</v>
      </c>
      <c r="CW44" s="85">
        <f t="shared" ref="CW44:CW65" si="194">(16-CV44)/SUM(CJ44:CM44)</f>
        <v>0.41351816860308538</v>
      </c>
      <c r="CX44" s="113"/>
      <c r="CY44" s="90">
        <f t="shared" si="88"/>
        <v>3.7681553600466315E-2</v>
      </c>
      <c r="CZ44" s="91">
        <f t="shared" ref="CZ44:CZ77" si="195">100*CY44/(1+CY44)</f>
        <v>3.6313215234213048</v>
      </c>
      <c r="DA44" s="85">
        <f t="shared" si="135"/>
        <v>-0.58867847657869499</v>
      </c>
      <c r="DB44" s="85">
        <f t="shared" si="136"/>
        <v>0.58867847657869499</v>
      </c>
      <c r="DC44" s="85">
        <f t="shared" ref="DC44:DC77" si="196">DA44^2</f>
        <v>0.34654234878701312</v>
      </c>
      <c r="DD44" s="117"/>
      <c r="DE44" s="97"/>
      <c r="DF44" s="91">
        <f t="shared" si="138"/>
        <v>3.645265295742536</v>
      </c>
      <c r="DG44" s="85">
        <f t="shared" si="139"/>
        <v>-0.57473470425746376</v>
      </c>
      <c r="DH44" s="85">
        <f t="shared" si="140"/>
        <v>0.57473470425746376</v>
      </c>
      <c r="DI44" s="85">
        <f t="shared" ref="DI44:DI65" si="197">DG44^2</f>
        <v>0.33031998027791432</v>
      </c>
      <c r="DK44" s="117"/>
      <c r="DL44" s="99">
        <f>'Eq. 3 coef.'!$B$15+'Eq. 3 coef.'!$B$16*'Data and calc.'!G44^2+'Eq. 3 coef.'!$B$17*'Data and calc.'!G44+'Eq. 3 coef.'!$B$18*'Data and calc.'!BF44+'Eq. 3 coef.'!$B$19*'Data and calc.'!BG44+'Eq. 3 coef.'!$B$20*'Data and calc.'!BH44+'Eq. 3 coef.'!$B$21*'Data and calc.'!BI44+'Eq. 3 coef.'!$B$22*'Data and calc.'!BJ44+'Eq. 3 coef.'!$B$23*'Data and calc.'!BK44+'Eq. 3 coef.'!$B$24*'Data and calc.'!BL44+'Eq. 3 coef.'!$B$25*'Data and calc.'!BM44+'Eq. 3 coef.'!$B$26*'Data and calc.'!BN44+'Eq. 3 coef.'!$B$27*'Data and calc.'!BO44+'Eq. 3 coef.'!$B$28*'Data and calc.'!BP44</f>
        <v>3.8841311418550504</v>
      </c>
      <c r="DM44" s="85">
        <f t="shared" ref="DM44:DM65" si="198">DL44-B44</f>
        <v>-0.33586885814494938</v>
      </c>
      <c r="DN44" s="85">
        <f t="shared" si="143"/>
        <v>0.33586885814494938</v>
      </c>
      <c r="DO44" s="85">
        <f t="shared" si="33"/>
        <v>0.11280788987159213</v>
      </c>
      <c r="DP44" s="117"/>
      <c r="DQ44" s="99">
        <f>'Eq. 4 coef.'!$B$15+'Eq. 4 coef.'!$B$16*'Data and calc.'!G44^2+'Eq. 4 coef.'!$B$17*'Data and calc.'!G44+'Eq. 4 coef.'!$B$18*'Data and calc.'!O44+'Eq. 4 coef.'!$B$19*'Data and calc.'!P44+'Eq. 4 coef.'!$B$20*'Data and calc.'!Q44+'Eq. 4 coef.'!$B$21*'Data and calc.'!R44+'Eq. 4 coef.'!$B$22*'Data and calc.'!S44+'Eq. 4 coef.'!$B$23*'Data and calc.'!T44+'Eq. 4 coef.'!$B$24*'Data and calc.'!U44+'Eq. 4 coef.'!$B$25*'Data and calc.'!V44+'Eq. 4 coef.'!$B$26*'Data and calc.'!W44+'Eq. 4 coef.'!$B$27*'Data and calc.'!X44</f>
        <v>3.8839081264077322</v>
      </c>
      <c r="DR44" s="85">
        <f t="shared" ref="DR44:DR73" si="199">DQ44-B44</f>
        <v>-0.33609187359226755</v>
      </c>
      <c r="DS44" s="85">
        <f t="shared" si="145"/>
        <v>0.33609187359226755</v>
      </c>
      <c r="DT44" s="85">
        <f t="shared" ref="DT44:DT73" si="200">DR44^2</f>
        <v>0.11295774749476076</v>
      </c>
    </row>
    <row r="45" spans="1:125" ht="15" x14ac:dyDescent="0.2">
      <c r="A45" s="66" t="s">
        <v>577</v>
      </c>
      <c r="B45" s="73">
        <v>3.2098096720460938</v>
      </c>
      <c r="C45" s="73">
        <v>0.14000000000000001</v>
      </c>
      <c r="D45" s="126">
        <f t="shared" si="111"/>
        <v>4.3616293270982949</v>
      </c>
      <c r="E45" s="72">
        <f t="shared" si="112"/>
        <v>3.3162551506204355E-2</v>
      </c>
      <c r="F45" s="64">
        <f t="shared" si="113"/>
        <v>16.531089876819753</v>
      </c>
      <c r="G45" s="73">
        <v>4.0658443006120821</v>
      </c>
      <c r="H45" s="73">
        <v>6.7326254783921083E-2</v>
      </c>
      <c r="I45" s="126">
        <f t="shared" si="106"/>
        <v>1.655898499944664</v>
      </c>
      <c r="J45" s="70">
        <v>1250</v>
      </c>
      <c r="K45" s="70">
        <v>200</v>
      </c>
      <c r="L45" s="73">
        <v>0.62979939322625944</v>
      </c>
      <c r="M45" s="70">
        <v>2.6</v>
      </c>
      <c r="N45" s="64">
        <f t="shared" si="147"/>
        <v>2.1984044757683598</v>
      </c>
      <c r="O45" s="76">
        <v>50.339558573853985</v>
      </c>
      <c r="P45" s="73">
        <v>0.97623089983022071</v>
      </c>
      <c r="Q45" s="73">
        <v>18.081494057724957</v>
      </c>
      <c r="R45" s="73">
        <v>9.5076400679117139</v>
      </c>
      <c r="S45" s="73">
        <v>0.20161290322580644</v>
      </c>
      <c r="T45" s="73">
        <v>7.0352292020373515</v>
      </c>
      <c r="U45" s="73">
        <v>11.364601018675721</v>
      </c>
      <c r="V45" s="73">
        <v>2.2389643463497451</v>
      </c>
      <c r="W45" s="73">
        <v>0.25466893039049232</v>
      </c>
      <c r="X45" s="73">
        <v>0</v>
      </c>
      <c r="Y45" s="73">
        <f t="shared" si="148"/>
        <v>100</v>
      </c>
      <c r="Z45" s="73">
        <v>2.4936332767402374</v>
      </c>
      <c r="AA45" s="73">
        <v>1.1727509963052347</v>
      </c>
      <c r="AB45" s="59">
        <f t="shared" si="149"/>
        <v>5.4217935999258531</v>
      </c>
      <c r="AC45" s="60">
        <f t="shared" si="150"/>
        <v>4.6231413292397745</v>
      </c>
      <c r="AD45" s="57">
        <f t="shared" si="151"/>
        <v>100.53729486125391</v>
      </c>
      <c r="AE45" s="57"/>
      <c r="AF45" s="57">
        <f t="shared" si="152"/>
        <v>48.723754553885108</v>
      </c>
      <c r="AG45" s="57">
        <f t="shared" si="153"/>
        <v>0.94489574598596771</v>
      </c>
      <c r="AH45" s="57">
        <f t="shared" si="154"/>
        <v>17.501112512609662</v>
      </c>
      <c r="AI45" s="57">
        <f t="shared" si="155"/>
        <v>9.202462917428555</v>
      </c>
      <c r="AJ45" s="57">
        <f t="shared" si="156"/>
        <v>0.19514151275797156</v>
      </c>
      <c r="AK45" s="57">
        <f t="shared" si="157"/>
        <v>6.8094117346597454</v>
      </c>
      <c r="AL45" s="57">
        <f t="shared" si="158"/>
        <v>10.99981895598882</v>
      </c>
      <c r="AM45" s="57">
        <f t="shared" si="159"/>
        <v>2.1670978522069473</v>
      </c>
      <c r="AN45" s="57">
        <f t="shared" si="160"/>
        <v>0.24649454243112195</v>
      </c>
      <c r="AO45" s="57">
        <f t="shared" si="161"/>
        <v>0</v>
      </c>
      <c r="AP45" s="57">
        <f t="shared" si="162"/>
        <v>96.790190327953908</v>
      </c>
      <c r="AQ45" s="57"/>
      <c r="AR45" s="84">
        <f t="shared" si="163"/>
        <v>48.463363392784871</v>
      </c>
      <c r="AS45" s="85">
        <f t="shared" si="164"/>
        <v>0.93984600171505239</v>
      </c>
      <c r="AT45" s="85">
        <f t="shared" si="165"/>
        <v>17.407582466548359</v>
      </c>
      <c r="AU45" s="85">
        <f t="shared" si="166"/>
        <v>9.153282799311814</v>
      </c>
      <c r="AV45" s="85">
        <f t="shared" si="167"/>
        <v>0.19409863078897818</v>
      </c>
      <c r="AW45" s="85">
        <f t="shared" si="168"/>
        <v>6.7730206427943447</v>
      </c>
      <c r="AX45" s="85">
        <f t="shared" si="169"/>
        <v>10.941033346052402</v>
      </c>
      <c r="AY45" s="85">
        <f t="shared" si="170"/>
        <v>2.1555163734986524</v>
      </c>
      <c r="AZ45" s="85">
        <f t="shared" si="171"/>
        <v>0.24517721783870927</v>
      </c>
      <c r="BA45" s="85">
        <f t="shared" si="172"/>
        <v>0</v>
      </c>
      <c r="BB45" s="85">
        <f t="shared" si="173"/>
        <v>96.272920871333199</v>
      </c>
      <c r="BC45" s="85">
        <f t="shared" si="174"/>
        <v>5.219719062263624</v>
      </c>
      <c r="BD45" s="85">
        <f t="shared" si="175"/>
        <v>4.4508331936689096</v>
      </c>
      <c r="BE45" s="85">
        <f t="shared" si="176"/>
        <v>100.00000000000001</v>
      </c>
      <c r="BF45" s="84">
        <f t="shared" si="177"/>
        <v>50.070532177461992</v>
      </c>
      <c r="BG45" s="85">
        <f t="shared" si="178"/>
        <v>0.97101369315482799</v>
      </c>
      <c r="BH45" s="85">
        <f t="shared" si="179"/>
        <v>17.984862316693768</v>
      </c>
      <c r="BI45" s="85">
        <f t="shared" si="180"/>
        <v>5.392818264513858</v>
      </c>
      <c r="BJ45" s="85">
        <f t="shared" si="181"/>
        <v>4.5984341786994785</v>
      </c>
      <c r="BK45" s="85">
        <f t="shared" si="182"/>
        <v>0.20053543662980142</v>
      </c>
      <c r="BL45" s="85">
        <f t="shared" si="183"/>
        <v>6.9976312887135972</v>
      </c>
      <c r="BM45" s="85">
        <f t="shared" si="184"/>
        <v>11.303865927921963</v>
      </c>
      <c r="BN45" s="85">
        <f t="shared" si="185"/>
        <v>2.2269987962572682</v>
      </c>
      <c r="BO45" s="85">
        <f t="shared" si="186"/>
        <v>0.25330791995343332</v>
      </c>
      <c r="BP45" s="85">
        <f t="shared" si="187"/>
        <v>0</v>
      </c>
      <c r="BQ45" s="85">
        <f t="shared" si="188"/>
        <v>99.999999999999986</v>
      </c>
      <c r="BR45" s="85"/>
      <c r="BS45" s="82">
        <f>AR45/Weights!$B$5*2+AS45/Weights!$B$7*2+AT45/Weights!$B$8*3+'Data and calc.'!BC45/Weights!$B$20*3+'Data and calc.'!BD45/Weights!$B$10+'Data and calc.'!AV45/Weights!$B$11+'Data and calc.'!AW45/Weights!$B$13+'Data and calc.'!AX45/Weights!$B$14+'Data and calc.'!AY45/Weights!$B$15+AZ45/Weights!$B$16+B45/Weights!$B$19+'Data and calc.'!BA45/Weights!$B$6*5</f>
        <v>2.8903982589514086</v>
      </c>
      <c r="BT45" s="84">
        <f>AR45/Weights!$B$5*8/'Data and calc.'!$BS45</f>
        <v>2.2325142619496399</v>
      </c>
      <c r="BU45" s="85">
        <f>AS45/Weights!$B$7*8/'Data and calc.'!$BS45</f>
        <v>3.2571105722531614E-2</v>
      </c>
      <c r="BV45" s="85">
        <f>AT45/Weights!$B$8*8/'Data and calc.'!$BS45*2</f>
        <v>0.94508441661821641</v>
      </c>
      <c r="BW45" s="85">
        <f>BC45/Weights!$B$20*8/'Data and calc.'!$BS45*2</f>
        <v>0.18094219839954878</v>
      </c>
      <c r="BX45" s="85">
        <f>BD45/Weights!$B$10*8/'Data and calc.'!$BS45</f>
        <v>0.17146801257626795</v>
      </c>
      <c r="BY45" s="85">
        <f>AV45/Weights!$B$11*8/'Data and calc.'!$BS45</f>
        <v>7.5732393831999005E-3</v>
      </c>
      <c r="BZ45" s="85">
        <f>AW45/Weights!$B$13*8/'Data and calc.'!$BS45</f>
        <v>0.46512164363483754</v>
      </c>
      <c r="CA45" s="85">
        <f>AX45/Weights!$B$14*8/'Data and calc.'!$BS45</f>
        <v>0.54001505790283999</v>
      </c>
      <c r="CB45" s="85">
        <f>AY45/Weights!$B$15*8/'Data and calc.'!$BS45*2</f>
        <v>0.19251842071754657</v>
      </c>
      <c r="CC45" s="85">
        <f>AZ45/Weights!$B$16*8/'Data and calc.'!$BS45*2</f>
        <v>1.4408268447856901E-2</v>
      </c>
      <c r="CD45" s="85">
        <f>BA45/Weights!$B$6*8/'Data and calc.'!$BS45*2</f>
        <v>0</v>
      </c>
      <c r="CE45" s="85">
        <f>B45/Weights!$B$19*8/'Data and calc.'!$BS45*2</f>
        <v>0.98629608809832581</v>
      </c>
      <c r="CF45" s="85">
        <f t="shared" si="189"/>
        <v>13.564447930759746</v>
      </c>
      <c r="CG45" s="85">
        <f t="shared" si="190"/>
        <v>0.71821634958462721</v>
      </c>
      <c r="CH45" s="85">
        <f t="shared" si="191"/>
        <v>0.20624245310627856</v>
      </c>
      <c r="CI45" s="85">
        <f>AR45/Weights!$B$5*2+AS45/Weights!$B$7*2+AT45/Weights!$B$8*3+'Data and calc.'!BC45/Weights!$B$20*3+'Data and calc.'!BD45/Weights!$B$10+'Data and calc.'!AV45/Weights!$B$11+'Data and calc.'!AW45/Weights!$B$13+'Data and calc.'!AX45/Weights!$B$14+'Data and calc.'!AY45/Weights!$B$15+AZ45/Weights!$B$16+'Data and calc.'!BA45/Weights!$B$6*5</f>
        <v>2.7122239779607846</v>
      </c>
      <c r="CJ45" s="84">
        <f>AR45/Weights!$B$5*8/'Data and calc.'!$CI45</f>
        <v>2.379174945822534</v>
      </c>
      <c r="CK45" s="85">
        <f>AS45/Weights!$B$7*8/'Data and calc.'!$CI45</f>
        <v>3.471080118660054E-2</v>
      </c>
      <c r="CL45" s="85">
        <f>AT45/Weights!$B$8*8/'Data and calc.'!$CI45*2</f>
        <v>1.0071698998875589</v>
      </c>
      <c r="CM45" s="85">
        <f>BC45/Weights!$B$20*8/'Data and calc.'!$CI45*2</f>
        <v>0.19282884432653519</v>
      </c>
      <c r="CN45" s="85">
        <f>BD45/Weights!$B$10*8/'Data and calc.'!$CI45</f>
        <v>0.18273227028577985</v>
      </c>
      <c r="CO45" s="85">
        <f>AV45/Weights!$B$11*8/'Data and calc.'!$CI45</f>
        <v>8.0707486202084341E-3</v>
      </c>
      <c r="CP45" s="85">
        <f>AW45/Weights!$B$13*8/'Data and calc.'!$CI45</f>
        <v>0.49567690570066558</v>
      </c>
      <c r="CQ45" s="85">
        <f>AX45/Weights!$B$14*8/'Data and calc.'!$CI45</f>
        <v>0.57549029720748268</v>
      </c>
      <c r="CR45" s="85">
        <f>AY45/Weights!$B$15*8/'Data and calc.'!$CI45*2</f>
        <v>0.20516554406264342</v>
      </c>
      <c r="CS45" s="85">
        <f>AZ45/Weights!$B$16*8/'Data and calc.'!$CI45*2</f>
        <v>1.5354791630262715E-2</v>
      </c>
      <c r="CT45" s="85">
        <f>BA45/Weights!$B$6*8/'Data and calc.'!$CI45*2</f>
        <v>0</v>
      </c>
      <c r="CU45" s="85">
        <f t="shared" si="192"/>
        <v>8</v>
      </c>
      <c r="CV45" s="85">
        <f t="shared" si="193"/>
        <v>14.455537964892915</v>
      </c>
      <c r="CW45" s="85">
        <f t="shared" si="194"/>
        <v>0.42736895405982234</v>
      </c>
      <c r="CX45" s="113"/>
      <c r="CY45" s="90">
        <f t="shared" si="88"/>
        <v>3.1336919428270028E-2</v>
      </c>
      <c r="CZ45" s="91">
        <f t="shared" si="195"/>
        <v>3.0384754814791179</v>
      </c>
      <c r="DA45" s="85">
        <f t="shared" si="135"/>
        <v>-0.17133419056697585</v>
      </c>
      <c r="DB45" s="85">
        <f t="shared" si="136"/>
        <v>0.17133419056697585</v>
      </c>
      <c r="DC45" s="85">
        <f t="shared" si="196"/>
        <v>2.9355404857240797E-2</v>
      </c>
      <c r="DD45" s="117"/>
      <c r="DE45" s="97"/>
      <c r="DF45" s="91">
        <f t="shared" si="138"/>
        <v>3.0513076685776772</v>
      </c>
      <c r="DG45" s="85">
        <f t="shared" si="139"/>
        <v>-0.15850200346841659</v>
      </c>
      <c r="DH45" s="85">
        <f t="shared" si="140"/>
        <v>0.15850200346841659</v>
      </c>
      <c r="DI45" s="85">
        <f t="shared" si="197"/>
        <v>2.5122885103501944E-2</v>
      </c>
      <c r="DK45" s="117"/>
      <c r="DL45" s="99">
        <f>'Eq. 3 coef.'!$B$15+'Eq. 3 coef.'!$B$16*'Data and calc.'!G45^2+'Eq. 3 coef.'!$B$17*'Data and calc.'!G45+'Eq. 3 coef.'!$B$18*'Data and calc.'!BF45+'Eq. 3 coef.'!$B$19*'Data and calc.'!BG45+'Eq. 3 coef.'!$B$20*'Data and calc.'!BH45+'Eq. 3 coef.'!$B$21*'Data and calc.'!BI45+'Eq. 3 coef.'!$B$22*'Data and calc.'!BJ45+'Eq. 3 coef.'!$B$23*'Data and calc.'!BK45+'Eq. 3 coef.'!$B$24*'Data and calc.'!BL45+'Eq. 3 coef.'!$B$25*'Data and calc.'!BM45+'Eq. 3 coef.'!$B$26*'Data and calc.'!BN45+'Eq. 3 coef.'!$B$27*'Data and calc.'!BO45+'Eq. 3 coef.'!$B$28*'Data and calc.'!BP45</f>
        <v>3.2818144709317494</v>
      </c>
      <c r="DM45" s="85">
        <f t="shared" si="198"/>
        <v>7.2004798885655585E-2</v>
      </c>
      <c r="DN45" s="85">
        <f t="shared" si="143"/>
        <v>7.2004798885655585E-2</v>
      </c>
      <c r="DO45" s="85">
        <f t="shared" si="33"/>
        <v>5.1846910625637076E-3</v>
      </c>
      <c r="DP45" s="117"/>
      <c r="DQ45" s="99">
        <f>'Eq. 4 coef.'!$B$15+'Eq. 4 coef.'!$B$16*'Data and calc.'!G45^2+'Eq. 4 coef.'!$B$17*'Data and calc.'!G45+'Eq. 4 coef.'!$B$18*'Data and calc.'!O45+'Eq. 4 coef.'!$B$19*'Data and calc.'!P45+'Eq. 4 coef.'!$B$20*'Data and calc.'!Q45+'Eq. 4 coef.'!$B$21*'Data and calc.'!R45+'Eq. 4 coef.'!$B$22*'Data and calc.'!S45+'Eq. 4 coef.'!$B$23*'Data and calc.'!T45+'Eq. 4 coef.'!$B$24*'Data and calc.'!U45+'Eq. 4 coef.'!$B$25*'Data and calc.'!V45+'Eq. 4 coef.'!$B$26*'Data and calc.'!W45+'Eq. 4 coef.'!$B$27*'Data and calc.'!X45</f>
        <v>3.2879923278781007</v>
      </c>
      <c r="DR45" s="85">
        <f t="shared" si="199"/>
        <v>7.8182655832006898E-2</v>
      </c>
      <c r="DS45" s="85">
        <f t="shared" si="145"/>
        <v>7.8182655832006898E-2</v>
      </c>
      <c r="DT45" s="85">
        <f t="shared" si="200"/>
        <v>6.1125276729460422E-3</v>
      </c>
    </row>
    <row r="46" spans="1:125" ht="15" x14ac:dyDescent="0.2">
      <c r="A46" s="66" t="s">
        <v>629</v>
      </c>
      <c r="B46" s="73">
        <v>2.8</v>
      </c>
      <c r="C46" s="73">
        <v>0.13</v>
      </c>
      <c r="D46" s="126">
        <f t="shared" si="111"/>
        <v>4.6428571428571432</v>
      </c>
      <c r="E46" s="72">
        <f t="shared" si="112"/>
        <v>2.8806584362139915E-2</v>
      </c>
      <c r="F46" s="64">
        <f t="shared" si="113"/>
        <v>15.239524088200969</v>
      </c>
      <c r="G46" s="73">
        <v>3.9037833044626042</v>
      </c>
      <c r="H46" s="73">
        <v>3.01364770986422E-2</v>
      </c>
      <c r="I46" s="126">
        <f t="shared" si="106"/>
        <v>0.77198129988905195</v>
      </c>
      <c r="J46" s="70">
        <v>1250</v>
      </c>
      <c r="K46" s="70">
        <v>100</v>
      </c>
      <c r="L46" s="73">
        <v>0.77328639654221254</v>
      </c>
      <c r="M46" s="70">
        <v>2.6</v>
      </c>
      <c r="N46" s="64">
        <f t="shared" si="147"/>
        <v>2.3766807404941641</v>
      </c>
      <c r="O46" s="76">
        <v>50.333934061274249</v>
      </c>
      <c r="P46" s="73">
        <v>0.93289515530584144</v>
      </c>
      <c r="Q46" s="73">
        <v>18.276264178946253</v>
      </c>
      <c r="R46" s="73">
        <v>9.0427223576804838</v>
      </c>
      <c r="S46" s="73">
        <v>0.24382487013675402</v>
      </c>
      <c r="T46" s="73">
        <v>7.0179158274143969</v>
      </c>
      <c r="U46" s="73">
        <v>11.364359164634795</v>
      </c>
      <c r="V46" s="73">
        <v>2.5548605957807702</v>
      </c>
      <c r="W46" s="73">
        <v>0.23322378882646036</v>
      </c>
      <c r="X46" s="73">
        <v>0</v>
      </c>
      <c r="Y46" s="73">
        <f t="shared" si="148"/>
        <v>100</v>
      </c>
      <c r="Z46" s="73">
        <v>2.7880843846072305</v>
      </c>
      <c r="AA46" s="73">
        <v>1.2842173323545614</v>
      </c>
      <c r="AB46" s="59">
        <f t="shared" si="149"/>
        <v>5.3839018268659125</v>
      </c>
      <c r="AC46" s="60">
        <f t="shared" si="150"/>
        <v>4.1923603514949779</v>
      </c>
      <c r="AD46" s="57">
        <f t="shared" si="151"/>
        <v>100.5335398206804</v>
      </c>
      <c r="AE46" s="57"/>
      <c r="AF46" s="57">
        <f t="shared" si="152"/>
        <v>48.924583907558571</v>
      </c>
      <c r="AG46" s="57">
        <f t="shared" si="153"/>
        <v>0.90677409095727801</v>
      </c>
      <c r="AH46" s="57">
        <f t="shared" si="154"/>
        <v>17.764528781935759</v>
      </c>
      <c r="AI46" s="57">
        <f t="shared" si="155"/>
        <v>8.789526131665431</v>
      </c>
      <c r="AJ46" s="57">
        <f t="shared" si="156"/>
        <v>0.23699777377292491</v>
      </c>
      <c r="AK46" s="57">
        <f t="shared" si="157"/>
        <v>6.8214141842467937</v>
      </c>
      <c r="AL46" s="57">
        <f t="shared" si="158"/>
        <v>11.046157108025021</v>
      </c>
      <c r="AM46" s="57">
        <f t="shared" si="159"/>
        <v>2.4833244990989085</v>
      </c>
      <c r="AN46" s="57">
        <f t="shared" si="160"/>
        <v>0.2266935227393195</v>
      </c>
      <c r="AO46" s="57">
        <f t="shared" si="161"/>
        <v>0</v>
      </c>
      <c r="AP46" s="57">
        <f t="shared" si="162"/>
        <v>97.200000000000017</v>
      </c>
      <c r="AQ46" s="57"/>
      <c r="AR46" s="84">
        <f t="shared" si="163"/>
        <v>48.664937089477142</v>
      </c>
      <c r="AS46" s="85">
        <f t="shared" si="164"/>
        <v>0.90196176576958509</v>
      </c>
      <c r="AT46" s="85">
        <f t="shared" si="165"/>
        <v>17.670250956667775</v>
      </c>
      <c r="AU46" s="85">
        <f t="shared" si="166"/>
        <v>8.7428793886529075</v>
      </c>
      <c r="AV46" s="85">
        <f t="shared" si="167"/>
        <v>0.23574000696250519</v>
      </c>
      <c r="AW46" s="85">
        <f t="shared" si="168"/>
        <v>6.7852123743121044</v>
      </c>
      <c r="AX46" s="85">
        <f t="shared" si="169"/>
        <v>10.987534237556762</v>
      </c>
      <c r="AY46" s="85">
        <f t="shared" si="170"/>
        <v>2.4701452903462497</v>
      </c>
      <c r="AZ46" s="85">
        <f t="shared" si="171"/>
        <v>0.22549044144239627</v>
      </c>
      <c r="BA46" s="85">
        <f t="shared" si="172"/>
        <v>0</v>
      </c>
      <c r="BB46" s="85">
        <f t="shared" si="173"/>
        <v>96.684151551187441</v>
      </c>
      <c r="BC46" s="85">
        <f t="shared" si="174"/>
        <v>5.2053798016541872</v>
      </c>
      <c r="BD46" s="85">
        <f t="shared" si="175"/>
        <v>4.0533480358112985</v>
      </c>
      <c r="BE46" s="85">
        <f t="shared" si="176"/>
        <v>100.00000000000001</v>
      </c>
      <c r="BF46" s="84">
        <f t="shared" si="177"/>
        <v>50.066807705223397</v>
      </c>
      <c r="BG46" s="85">
        <f t="shared" si="178"/>
        <v>0.9279442034666513</v>
      </c>
      <c r="BH46" s="85">
        <f t="shared" si="179"/>
        <v>18.179270531551211</v>
      </c>
      <c r="BI46" s="85">
        <f t="shared" si="180"/>
        <v>5.355329014047518</v>
      </c>
      <c r="BJ46" s="85">
        <f t="shared" si="181"/>
        <v>4.1701111479540103</v>
      </c>
      <c r="BK46" s="85">
        <f t="shared" si="182"/>
        <v>0.24253087136060203</v>
      </c>
      <c r="BL46" s="85">
        <f t="shared" si="183"/>
        <v>6.9806711669877615</v>
      </c>
      <c r="BM46" s="85">
        <f t="shared" si="184"/>
        <v>11.304047569502842</v>
      </c>
      <c r="BN46" s="85">
        <f t="shared" si="185"/>
        <v>2.5413017390393517</v>
      </c>
      <c r="BO46" s="85">
        <f t="shared" si="186"/>
        <v>0.23198605086666282</v>
      </c>
      <c r="BP46" s="85">
        <f t="shared" si="187"/>
        <v>0</v>
      </c>
      <c r="BQ46" s="85">
        <f t="shared" si="188"/>
        <v>100.00000000000001</v>
      </c>
      <c r="BR46" s="85"/>
      <c r="BS46" s="82">
        <f>AR46/Weights!$B$5*2+AS46/Weights!$B$7*2+AT46/Weights!$B$8*3+'Data and calc.'!BC46/Weights!$B$20*3+'Data and calc.'!BD46/Weights!$B$10+'Data and calc.'!AV46/Weights!$B$11+'Data and calc.'!AW46/Weights!$B$13+'Data and calc.'!AX46/Weights!$B$14+'Data and calc.'!AY46/Weights!$B$15+AZ46/Weights!$B$16+B46/Weights!$B$19+'Data and calc.'!BA46/Weights!$B$6*5</f>
        <v>2.8819238766420852</v>
      </c>
      <c r="BT46" s="84">
        <f>AR46/Weights!$B$5*8/'Data and calc.'!$BS46</f>
        <v>2.2483920388893979</v>
      </c>
      <c r="BU46" s="85">
        <f>AS46/Weights!$B$7*8/'Data and calc.'!$BS46</f>
        <v>3.1350113248678951E-2</v>
      </c>
      <c r="BV46" s="85">
        <f>AT46/Weights!$B$8*8/'Data and calc.'!$BS46*2</f>
        <v>0.96216607539535082</v>
      </c>
      <c r="BW46" s="85">
        <f>BC46/Weights!$B$20*8/'Data and calc.'!$BS46*2</f>
        <v>0.18097573040531834</v>
      </c>
      <c r="BX46" s="85">
        <f>BD46/Weights!$B$10*8/'Data and calc.'!$BS46</f>
        <v>0.15661410507161527</v>
      </c>
      <c r="BY46" s="85">
        <f>AV46/Weights!$B$11*8/'Data and calc.'!$BS46</f>
        <v>9.2250278666960919E-3</v>
      </c>
      <c r="BZ46" s="85">
        <f>AW46/Weights!$B$13*8/'Data and calc.'!$BS46</f>
        <v>0.46732904867016423</v>
      </c>
      <c r="CA46" s="85">
        <f>AX46/Weights!$B$14*8/'Data and calc.'!$BS46</f>
        <v>0.54390487507788743</v>
      </c>
      <c r="CB46" s="85">
        <f>AY46/Weights!$B$15*8/'Data and calc.'!$BS46*2</f>
        <v>0.22126801746053254</v>
      </c>
      <c r="CC46" s="85">
        <f>AZ46/Weights!$B$16*8/'Data and calc.'!$BS46*2</f>
        <v>1.3290306524963717E-2</v>
      </c>
      <c r="CD46" s="85">
        <f>BA46/Weights!$B$6*8/'Data and calc.'!$BS46*2</f>
        <v>0</v>
      </c>
      <c r="CE46" s="85">
        <f>B46/Weights!$B$19*8/'Data and calc.'!$BS46*2</f>
        <v>0.86290153668746317</v>
      </c>
      <c r="CF46" s="85">
        <f t="shared" si="189"/>
        <v>13.691535831754983</v>
      </c>
      <c r="CG46" s="85">
        <f t="shared" si="190"/>
        <v>0.67442080906393609</v>
      </c>
      <c r="CH46" s="85">
        <f t="shared" si="191"/>
        <v>0.17848770274776976</v>
      </c>
      <c r="CI46" s="85">
        <f>AR46/Weights!$B$5*2+AS46/Weights!$B$7*2+AT46/Weights!$B$8*3+'Data and calc.'!BC46/Weights!$B$20*3+'Data and calc.'!BD46/Weights!$B$10+'Data and calc.'!AV46/Weights!$B$11+'Data and calc.'!AW46/Weights!$B$13+'Data and calc.'!AX46/Weights!$B$14+'Data and calc.'!AY46/Weights!$B$15+AZ46/Weights!$B$16+'Data and calc.'!BA46/Weights!$B$6*5</f>
        <v>2.7264978427814137</v>
      </c>
      <c r="CJ46" s="84">
        <f>AR46/Weights!$B$5*8/'Data and calc.'!$CI46</f>
        <v>2.3765632964217311</v>
      </c>
      <c r="CK46" s="85">
        <f>AS46/Weights!$B$7*8/'Data and calc.'!$CI46</f>
        <v>3.3137249730824228E-2</v>
      </c>
      <c r="CL46" s="85">
        <f>AT46/Weights!$B$8*8/'Data and calc.'!$CI46*2</f>
        <v>1.0170150668992022</v>
      </c>
      <c r="CM46" s="85">
        <f>BC46/Weights!$B$20*8/'Data and calc.'!$CI46*2</f>
        <v>0.19129238628546452</v>
      </c>
      <c r="CN46" s="85">
        <f>BD46/Weights!$B$10*8/'Data and calc.'!$CI46</f>
        <v>0.16554200841192654</v>
      </c>
      <c r="CO46" s="85">
        <f>AV46/Weights!$B$11*8/'Data and calc.'!$CI46</f>
        <v>9.7509074295099238E-3</v>
      </c>
      <c r="CP46" s="85">
        <f>AW46/Weights!$B$13*8/'Data and calc.'!$CI46</f>
        <v>0.49396948806570257</v>
      </c>
      <c r="CQ46" s="85">
        <f>AX46/Weights!$B$14*8/'Data and calc.'!$CI46</f>
        <v>0.57491057631277287</v>
      </c>
      <c r="CR46" s="85">
        <f>AY46/Weights!$B$15*8/'Data and calc.'!$CI46*2</f>
        <v>0.23388156507992874</v>
      </c>
      <c r="CS46" s="85">
        <f>AZ46/Weights!$B$16*8/'Data and calc.'!$CI46*2</f>
        <v>1.4047930316024724E-2</v>
      </c>
      <c r="CT46" s="85">
        <f>BA46/Weights!$B$6*8/'Data and calc.'!$CI46*2</f>
        <v>0</v>
      </c>
      <c r="CU46" s="85">
        <f t="shared" si="192"/>
        <v>7.9999999999999991</v>
      </c>
      <c r="CV46" s="85">
        <f t="shared" si="193"/>
        <v>14.472031997348889</v>
      </c>
      <c r="CW46" s="85">
        <f t="shared" si="194"/>
        <v>0.42232300285986574</v>
      </c>
      <c r="CX46" s="113"/>
      <c r="CY46" s="90">
        <f t="shared" si="88"/>
        <v>2.994157425142302E-2</v>
      </c>
      <c r="CZ46" s="91">
        <f t="shared" si="195"/>
        <v>2.9071138596560688</v>
      </c>
      <c r="DA46" s="85">
        <f t="shared" si="135"/>
        <v>0.10711385965606901</v>
      </c>
      <c r="DB46" s="85">
        <f t="shared" si="136"/>
        <v>0.10711385965606901</v>
      </c>
      <c r="DC46" s="85">
        <f t="shared" si="196"/>
        <v>1.1473378930420048E-2</v>
      </c>
      <c r="DD46" s="117"/>
      <c r="DE46" s="97"/>
      <c r="DF46" s="91">
        <f t="shared" si="138"/>
        <v>2.919427047625347</v>
      </c>
      <c r="DG46" s="85">
        <f t="shared" si="139"/>
        <v>0.11942704762534717</v>
      </c>
      <c r="DH46" s="85">
        <f t="shared" si="140"/>
        <v>0.11942704762534717</v>
      </c>
      <c r="DI46" s="85">
        <f t="shared" si="197"/>
        <v>1.4262819704506942E-2</v>
      </c>
      <c r="DK46" s="117"/>
      <c r="DL46" s="99">
        <f>'Eq. 3 coef.'!$B$15+'Eq. 3 coef.'!$B$16*'Data and calc.'!G46^2+'Eq. 3 coef.'!$B$17*'Data and calc.'!G46+'Eq. 3 coef.'!$B$18*'Data and calc.'!BF46+'Eq. 3 coef.'!$B$19*'Data and calc.'!BG46+'Eq. 3 coef.'!$B$20*'Data and calc.'!BH46+'Eq. 3 coef.'!$B$21*'Data and calc.'!BI46+'Eq. 3 coef.'!$B$22*'Data and calc.'!BJ46+'Eq. 3 coef.'!$B$23*'Data and calc.'!BK46+'Eq. 3 coef.'!$B$24*'Data and calc.'!BL46+'Eq. 3 coef.'!$B$25*'Data and calc.'!BM46+'Eq. 3 coef.'!$B$26*'Data and calc.'!BN46+'Eq. 3 coef.'!$B$27*'Data and calc.'!BO46+'Eq. 3 coef.'!$B$28*'Data and calc.'!BP46</f>
        <v>3.1697876977300439</v>
      </c>
      <c r="DM46" s="85">
        <f t="shared" si="198"/>
        <v>0.36978769773004405</v>
      </c>
      <c r="DN46" s="85">
        <f t="shared" si="143"/>
        <v>0.36978769773004405</v>
      </c>
      <c r="DO46" s="85">
        <f t="shared" si="33"/>
        <v>0.13674294139248644</v>
      </c>
      <c r="DP46" s="117"/>
      <c r="DQ46" s="99">
        <f>'Eq. 4 coef.'!$B$15+'Eq. 4 coef.'!$B$16*'Data and calc.'!G46^2+'Eq. 4 coef.'!$B$17*'Data and calc.'!G46+'Eq. 4 coef.'!$B$18*'Data and calc.'!O46+'Eq. 4 coef.'!$B$19*'Data and calc.'!P46+'Eq. 4 coef.'!$B$20*'Data and calc.'!Q46+'Eq. 4 coef.'!$B$21*'Data and calc.'!R46+'Eq. 4 coef.'!$B$22*'Data and calc.'!S46+'Eq. 4 coef.'!$B$23*'Data and calc.'!T46+'Eq. 4 coef.'!$B$24*'Data and calc.'!U46+'Eq. 4 coef.'!$B$25*'Data and calc.'!V46+'Eq. 4 coef.'!$B$26*'Data and calc.'!W46+'Eq. 4 coef.'!$B$27*'Data and calc.'!X46</f>
        <v>3.1776233977598167</v>
      </c>
      <c r="DR46" s="85">
        <f t="shared" si="199"/>
        <v>0.3776233977598169</v>
      </c>
      <c r="DS46" s="85">
        <f t="shared" si="145"/>
        <v>0.3776233977598169</v>
      </c>
      <c r="DT46" s="85">
        <f t="shared" si="200"/>
        <v>0.1425994305356689</v>
      </c>
    </row>
    <row r="47" spans="1:125" ht="15" x14ac:dyDescent="0.2">
      <c r="A47" s="66" t="s">
        <v>578</v>
      </c>
      <c r="B47" s="73">
        <v>1.2029996845838431</v>
      </c>
      <c r="C47" s="73">
        <v>0.12</v>
      </c>
      <c r="D47" s="126">
        <f t="shared" si="111"/>
        <v>9.9750649595150911</v>
      </c>
      <c r="E47" s="72">
        <f t="shared" si="112"/>
        <v>1.2176479860149443E-2</v>
      </c>
      <c r="F47" s="64">
        <f t="shared" si="113"/>
        <v>3.1351198024356512</v>
      </c>
      <c r="G47" s="73">
        <v>1.770626951798614</v>
      </c>
      <c r="H47" s="73">
        <v>2.0835580391083429E-2</v>
      </c>
      <c r="I47" s="126">
        <f t="shared" si="106"/>
        <v>1.1767346232880118</v>
      </c>
      <c r="J47" s="70">
        <v>1250</v>
      </c>
      <c r="K47" s="70">
        <v>100</v>
      </c>
      <c r="L47" s="73">
        <v>0.20377472354810147</v>
      </c>
      <c r="M47" s="70">
        <v>2.6</v>
      </c>
      <c r="N47" s="64">
        <f t="shared" si="147"/>
        <v>1.2183006252448425</v>
      </c>
      <c r="O47" s="76">
        <v>51.167396289347515</v>
      </c>
      <c r="P47" s="73">
        <v>0.99020220971440465</v>
      </c>
      <c r="Q47" s="73">
        <v>18.542839274546591</v>
      </c>
      <c r="R47" s="73">
        <v>8.1196581196581192</v>
      </c>
      <c r="S47" s="73">
        <v>0.17719407963310405</v>
      </c>
      <c r="T47" s="73">
        <v>7.0564936418594959</v>
      </c>
      <c r="U47" s="73">
        <v>11.267458828434439</v>
      </c>
      <c r="V47" s="73">
        <v>2.4077548467792371</v>
      </c>
      <c r="W47" s="73">
        <v>0.2710027100271003</v>
      </c>
      <c r="X47" s="73">
        <v>0</v>
      </c>
      <c r="Y47" s="73">
        <f t="shared" si="148"/>
        <v>100.00000000000001</v>
      </c>
      <c r="Z47" s="73">
        <v>2.6787575568063375</v>
      </c>
      <c r="AA47" s="73">
        <v>0.61888604626286126</v>
      </c>
      <c r="AB47" s="59">
        <f t="shared" si="149"/>
        <v>3.2263021989872844</v>
      </c>
      <c r="AC47" s="60">
        <f t="shared" si="150"/>
        <v>5.2130795620119175</v>
      </c>
      <c r="AD47" s="57">
        <f t="shared" si="151"/>
        <v>100.31972364134108</v>
      </c>
      <c r="AE47" s="57"/>
      <c r="AF47" s="57">
        <f t="shared" si="152"/>
        <v>50.551852673376899</v>
      </c>
      <c r="AG47" s="57">
        <f t="shared" si="153"/>
        <v>0.97829008025479813</v>
      </c>
      <c r="AH47" s="57">
        <f t="shared" si="154"/>
        <v>18.319768976560905</v>
      </c>
      <c r="AI47" s="57">
        <f t="shared" si="155"/>
        <v>8.0219786580893455</v>
      </c>
      <c r="AJ47" s="57">
        <f t="shared" si="156"/>
        <v>0.17506243541401656</v>
      </c>
      <c r="AK47" s="57">
        <f t="shared" si="157"/>
        <v>6.9716040456052477</v>
      </c>
      <c r="AL47" s="57">
        <f t="shared" si="158"/>
        <v>11.131911334267759</v>
      </c>
      <c r="AM47" s="57">
        <f t="shared" si="159"/>
        <v>2.3787895635669307</v>
      </c>
      <c r="AN47" s="57">
        <f t="shared" si="160"/>
        <v>0.26774254828026062</v>
      </c>
      <c r="AO47" s="57">
        <f t="shared" si="161"/>
        <v>0</v>
      </c>
      <c r="AP47" s="57">
        <f t="shared" si="162"/>
        <v>98.797000315416156</v>
      </c>
      <c r="AQ47" s="57"/>
      <c r="AR47" s="84">
        <f t="shared" si="163"/>
        <v>50.390741559563885</v>
      </c>
      <c r="AS47" s="85">
        <f t="shared" si="164"/>
        <v>0.97517222411052507</v>
      </c>
      <c r="AT47" s="85">
        <f t="shared" si="165"/>
        <v>18.261383017817099</v>
      </c>
      <c r="AU47" s="85">
        <f t="shared" si="166"/>
        <v>7.9964122377063074</v>
      </c>
      <c r="AV47" s="85">
        <f t="shared" si="167"/>
        <v>0.17450450326188349</v>
      </c>
      <c r="AW47" s="85">
        <f t="shared" si="168"/>
        <v>6.9493852181350073</v>
      </c>
      <c r="AX47" s="85">
        <f t="shared" si="169"/>
        <v>11.096433413299767</v>
      </c>
      <c r="AY47" s="85">
        <f t="shared" si="170"/>
        <v>2.3712082502055933</v>
      </c>
      <c r="AZ47" s="85">
        <f t="shared" si="171"/>
        <v>0.26688924028288064</v>
      </c>
      <c r="BA47" s="85">
        <f t="shared" si="172"/>
        <v>0</v>
      </c>
      <c r="BB47" s="85">
        <f t="shared" si="173"/>
        <v>98.482129664382953</v>
      </c>
      <c r="BC47" s="85">
        <f t="shared" si="174"/>
        <v>3.1773311149714956</v>
      </c>
      <c r="BD47" s="85">
        <f t="shared" si="175"/>
        <v>5.1339517737680227</v>
      </c>
      <c r="BE47" s="85">
        <f t="shared" si="176"/>
        <v>100</v>
      </c>
      <c r="BF47" s="84">
        <f t="shared" si="177"/>
        <v>51.004323409301911</v>
      </c>
      <c r="BG47" s="85">
        <f t="shared" si="178"/>
        <v>0.98704638905758402</v>
      </c>
      <c r="BH47" s="85">
        <f t="shared" si="179"/>
        <v>18.483742380352023</v>
      </c>
      <c r="BI47" s="85">
        <f t="shared" si="180"/>
        <v>3.2160198233019721</v>
      </c>
      <c r="BJ47" s="85">
        <f t="shared" si="181"/>
        <v>5.1964652341442878</v>
      </c>
      <c r="BK47" s="85">
        <f t="shared" si="182"/>
        <v>0.17662935383135719</v>
      </c>
      <c r="BL47" s="85">
        <f t="shared" si="183"/>
        <v>7.0340042672840486</v>
      </c>
      <c r="BM47" s="85">
        <f t="shared" si="184"/>
        <v>11.231548911276301</v>
      </c>
      <c r="BN47" s="85">
        <f t="shared" si="185"/>
        <v>2.4000812197084418</v>
      </c>
      <c r="BO47" s="85">
        <f t="shared" si="186"/>
        <v>0.27013901174207572</v>
      </c>
      <c r="BP47" s="85">
        <f t="shared" si="187"/>
        <v>0</v>
      </c>
      <c r="BQ47" s="85">
        <f t="shared" si="188"/>
        <v>100</v>
      </c>
      <c r="BR47" s="85"/>
      <c r="BS47" s="82">
        <f>AR47/Weights!$B$5*2+AS47/Weights!$B$7*2+AT47/Weights!$B$8*3+'Data and calc.'!BC47/Weights!$B$20*3+'Data and calc.'!BD47/Weights!$B$10+'Data and calc.'!AV47/Weights!$B$11+'Data and calc.'!AW47/Weights!$B$13+'Data and calc.'!AX47/Weights!$B$14+'Data and calc.'!AY47/Weights!$B$15+AZ47/Weights!$B$16+B47/Weights!$B$19+'Data and calc.'!BA47/Weights!$B$6*5</f>
        <v>2.850885055640946</v>
      </c>
      <c r="BT47" s="84">
        <f>AR47/Weights!$B$5*8/'Data and calc.'!$BS47</f>
        <v>2.3534740816752917</v>
      </c>
      <c r="BU47" s="85">
        <f>AS47/Weights!$B$7*8/'Data and calc.'!$BS47</f>
        <v>3.4263766859180207E-2</v>
      </c>
      <c r="BV47" s="85">
        <f>AT47/Weights!$B$8*8/'Data and calc.'!$BS47*2</f>
        <v>1.0051798776373377</v>
      </c>
      <c r="BW47" s="85">
        <f>BC47/Weights!$B$20*8/'Data and calc.'!$BS47*2</f>
        <v>0.11166914449505724</v>
      </c>
      <c r="BX47" s="85">
        <f>BD47/Weights!$B$10*8/'Data and calc.'!$BS47</f>
        <v>0.20052640140833175</v>
      </c>
      <c r="BY47" s="85">
        <f>AV47/Weights!$B$11*8/'Data and calc.'!$BS47</f>
        <v>6.9030946998348327E-3</v>
      </c>
      <c r="BZ47" s="85">
        <f>AW47/Weights!$B$13*8/'Data and calc.'!$BS47</f>
        <v>0.4838475157542429</v>
      </c>
      <c r="CA47" s="85">
        <f>AX47/Weights!$B$14*8/'Data and calc.'!$BS47</f>
        <v>0.55527602087830552</v>
      </c>
      <c r="CB47" s="85">
        <f>AY47/Weights!$B$15*8/'Data and calc.'!$BS47*2</f>
        <v>0.21471809289061203</v>
      </c>
      <c r="CC47" s="85">
        <f>AZ47/Weights!$B$16*8/'Data and calc.'!$BS47*2</f>
        <v>1.5901596307754486E-2</v>
      </c>
      <c r="CD47" s="85">
        <f>BA47/Weights!$B$6*8/'Data and calc.'!$BS47*2</f>
        <v>0</v>
      </c>
      <c r="CE47" s="85">
        <f>B47/Weights!$B$19*8/'Data and calc.'!$BS47*2</f>
        <v>0.37477578478512935</v>
      </c>
      <c r="CF47" s="85">
        <f t="shared" si="189"/>
        <v>14.018347482667467</v>
      </c>
      <c r="CG47" s="85">
        <f t="shared" si="190"/>
        <v>0.56544539783528214</v>
      </c>
      <c r="CH47" s="85">
        <f t="shared" si="191"/>
        <v>7.5229600669887986E-2</v>
      </c>
      <c r="CI47" s="85">
        <f>AR47/Weights!$B$5*2+AS47/Weights!$B$7*2+AT47/Weights!$B$8*3+'Data and calc.'!BC47/Weights!$B$20*3+'Data and calc.'!BD47/Weights!$B$10+'Data and calc.'!AV47/Weights!$B$11+'Data and calc.'!AW47/Weights!$B$13+'Data and calc.'!AX47/Weights!$B$14+'Data and calc.'!AY47/Weights!$B$15+AZ47/Weights!$B$16+'Data and calc.'!BA47/Weights!$B$6*5</f>
        <v>2.784107387887194</v>
      </c>
      <c r="CJ47" s="84">
        <f>AR47/Weights!$B$5*8/'Data and calc.'!$CI47</f>
        <v>2.4099228777874435</v>
      </c>
      <c r="CK47" s="85">
        <f>AS47/Weights!$B$7*8/'Data and calc.'!$CI47</f>
        <v>3.5085593793467651E-2</v>
      </c>
      <c r="CL47" s="85">
        <f>AT47/Weights!$B$8*8/'Data and calc.'!$CI47*2</f>
        <v>1.0292894246302653</v>
      </c>
      <c r="CM47" s="85">
        <f>BC47/Weights!$B$20*8/'Data and calc.'!$CI47*2</f>
        <v>0.11434756310127905</v>
      </c>
      <c r="CN47" s="85">
        <f>BD47/Weights!$B$10*8/'Data and calc.'!$CI47</f>
        <v>0.20533608851571844</v>
      </c>
      <c r="CO47" s="85">
        <f>AV47/Weights!$B$11*8/'Data and calc.'!$CI47</f>
        <v>7.0686675388509593E-3</v>
      </c>
      <c r="CP47" s="85">
        <f>AW47/Weights!$B$13*8/'Data and calc.'!$CI47</f>
        <v>0.4954527464975278</v>
      </c>
      <c r="CQ47" s="85">
        <f>AX47/Weights!$B$14*8/'Data and calc.'!$CI47</f>
        <v>0.5685944861771518</v>
      </c>
      <c r="CR47" s="85">
        <f>AY47/Weights!$B$15*8/'Data and calc.'!$CI47*2</f>
        <v>0.21986817206146242</v>
      </c>
      <c r="CS47" s="85">
        <f>AZ47/Weights!$B$16*8/'Data and calc.'!$CI47*2</f>
        <v>1.6283000961760791E-2</v>
      </c>
      <c r="CT47" s="85">
        <f>BA47/Weights!$B$6*8/'Data and calc.'!$CI47*2</f>
        <v>0</v>
      </c>
      <c r="CU47" s="85">
        <f t="shared" si="192"/>
        <v>8</v>
      </c>
      <c r="CV47" s="85">
        <f t="shared" si="193"/>
        <v>14.354581837249821</v>
      </c>
      <c r="CW47" s="85">
        <f t="shared" si="194"/>
        <v>0.45850674896857124</v>
      </c>
      <c r="CX47" s="113"/>
      <c r="CY47" s="90">
        <f t="shared" si="88"/>
        <v>1.1575098054986065E-2</v>
      </c>
      <c r="CZ47" s="91">
        <f t="shared" si="195"/>
        <v>1.144264827914623</v>
      </c>
      <c r="DA47" s="85">
        <f t="shared" si="135"/>
        <v>-5.873485666922007E-2</v>
      </c>
      <c r="DB47" s="85">
        <f t="shared" si="136"/>
        <v>5.873485666922007E-2</v>
      </c>
      <c r="DC47" s="85">
        <f t="shared" si="196"/>
        <v>3.4497833879538254E-3</v>
      </c>
      <c r="DD47" s="117"/>
      <c r="DE47" s="97"/>
      <c r="DF47" s="91">
        <f t="shared" si="138"/>
        <v>1.141370134498608</v>
      </c>
      <c r="DG47" s="85">
        <f t="shared" si="139"/>
        <v>-6.1629550085235074E-2</v>
      </c>
      <c r="DH47" s="85">
        <f t="shared" si="140"/>
        <v>6.1629550085235074E-2</v>
      </c>
      <c r="DI47" s="85">
        <f t="shared" si="197"/>
        <v>3.7982014437084985E-3</v>
      </c>
      <c r="DK47" s="117"/>
      <c r="DL47" s="99">
        <f>'Eq. 3 coef.'!$B$15+'Eq. 3 coef.'!$B$16*'Data and calc.'!G47^2+'Eq. 3 coef.'!$B$17*'Data and calc.'!G47+'Eq. 3 coef.'!$B$18*'Data and calc.'!BF47+'Eq. 3 coef.'!$B$19*'Data and calc.'!BG47+'Eq. 3 coef.'!$B$20*'Data and calc.'!BH47+'Eq. 3 coef.'!$B$21*'Data and calc.'!BI47+'Eq. 3 coef.'!$B$22*'Data and calc.'!BJ47+'Eq. 3 coef.'!$B$23*'Data and calc.'!BK47+'Eq. 3 coef.'!$B$24*'Data and calc.'!BL47+'Eq. 3 coef.'!$B$25*'Data and calc.'!BM47+'Eq. 3 coef.'!$B$26*'Data and calc.'!BN47+'Eq. 3 coef.'!$B$27*'Data and calc.'!BO47+'Eq. 3 coef.'!$B$28*'Data and calc.'!BP47</f>
        <v>1.1987558624323356</v>
      </c>
      <c r="DM47" s="85">
        <f t="shared" si="198"/>
        <v>-4.2438221515075369E-3</v>
      </c>
      <c r="DN47" s="85">
        <f t="shared" si="143"/>
        <v>4.2438221515075369E-3</v>
      </c>
      <c r="DO47" s="85">
        <f t="shared" si="33"/>
        <v>1.8010026453626059E-5</v>
      </c>
      <c r="DP47" s="117"/>
      <c r="DQ47" s="99">
        <f>'Eq. 4 coef.'!$B$15+'Eq. 4 coef.'!$B$16*'Data and calc.'!G47^2+'Eq. 4 coef.'!$B$17*'Data and calc.'!G47+'Eq. 4 coef.'!$B$18*'Data and calc.'!O47+'Eq. 4 coef.'!$B$19*'Data and calc.'!P47+'Eq. 4 coef.'!$B$20*'Data and calc.'!Q47+'Eq. 4 coef.'!$B$21*'Data and calc.'!R47+'Eq. 4 coef.'!$B$22*'Data and calc.'!S47+'Eq. 4 coef.'!$B$23*'Data and calc.'!T47+'Eq. 4 coef.'!$B$24*'Data and calc.'!U47+'Eq. 4 coef.'!$B$25*'Data and calc.'!V47+'Eq. 4 coef.'!$B$26*'Data and calc.'!W47+'Eq. 4 coef.'!$B$27*'Data and calc.'!X47</f>
        <v>1.2652385257708829</v>
      </c>
      <c r="DR47" s="85">
        <f t="shared" si="199"/>
        <v>6.2238841187039817E-2</v>
      </c>
      <c r="DS47" s="85">
        <f t="shared" si="145"/>
        <v>6.2238841187039817E-2</v>
      </c>
      <c r="DT47" s="85">
        <f t="shared" si="200"/>
        <v>3.8736733523055638E-3</v>
      </c>
    </row>
    <row r="48" spans="1:125" ht="15" x14ac:dyDescent="0.2">
      <c r="A48" s="66" t="s">
        <v>631</v>
      </c>
      <c r="B48" s="73">
        <v>4.95</v>
      </c>
      <c r="C48" s="73">
        <v>0.12</v>
      </c>
      <c r="D48" s="126">
        <f t="shared" si="111"/>
        <v>2.4242424242424243</v>
      </c>
      <c r="E48" s="72">
        <f t="shared" si="112"/>
        <v>5.2077853761178329E-2</v>
      </c>
      <c r="F48" s="64">
        <f t="shared" si="113"/>
        <v>32.866508130043606</v>
      </c>
      <c r="G48" s="73">
        <v>5.7329318965119063</v>
      </c>
      <c r="H48" s="73">
        <v>8.4959758182818965E-2</v>
      </c>
      <c r="I48" s="126">
        <f t="shared" si="106"/>
        <v>1.4819600113252893</v>
      </c>
      <c r="J48" s="70">
        <v>1250</v>
      </c>
      <c r="K48" s="70">
        <v>200</v>
      </c>
      <c r="L48" s="73">
        <v>1</v>
      </c>
      <c r="M48" s="70">
        <v>2.6</v>
      </c>
      <c r="N48" s="64">
        <f t="shared" si="147"/>
        <v>2.6</v>
      </c>
      <c r="O48" s="76">
        <v>50.637880274779199</v>
      </c>
      <c r="P48" s="73">
        <v>0.93773852360702226</v>
      </c>
      <c r="Q48" s="73">
        <v>18.231381528731873</v>
      </c>
      <c r="R48" s="73">
        <v>8.9303238469087347</v>
      </c>
      <c r="S48" s="73">
        <v>0.21807872642023773</v>
      </c>
      <c r="T48" s="73">
        <v>6.967615309126594</v>
      </c>
      <c r="U48" s="73">
        <v>11.405517391778433</v>
      </c>
      <c r="V48" s="73">
        <v>2.4206738632646387</v>
      </c>
      <c r="W48" s="73">
        <v>0.25079053538327339</v>
      </c>
      <c r="X48" s="73">
        <v>0</v>
      </c>
      <c r="Y48" s="73">
        <f t="shared" si="148"/>
        <v>100</v>
      </c>
      <c r="Z48" s="73">
        <v>2.6714643986479123</v>
      </c>
      <c r="AA48" s="73">
        <v>1.4692697636160204</v>
      </c>
      <c r="AB48" s="59">
        <f t="shared" si="149"/>
        <v>5.6467032033033036</v>
      </c>
      <c r="AC48" s="60">
        <f t="shared" si="150"/>
        <v>3.8432038439327858</v>
      </c>
      <c r="AD48" s="57">
        <f t="shared" si="151"/>
        <v>100.55958320032735</v>
      </c>
      <c r="AE48" s="57"/>
      <c r="AF48" s="57">
        <f t="shared" si="152"/>
        <v>48.131305201177632</v>
      </c>
      <c r="AG48" s="57">
        <f t="shared" si="153"/>
        <v>0.89132046668847464</v>
      </c>
      <c r="AH48" s="57">
        <f t="shared" si="154"/>
        <v>17.328928143059645</v>
      </c>
      <c r="AI48" s="57">
        <f t="shared" si="155"/>
        <v>8.4882728164867522</v>
      </c>
      <c r="AJ48" s="57">
        <f t="shared" si="156"/>
        <v>0.20728382946243595</v>
      </c>
      <c r="AK48" s="57">
        <f t="shared" si="157"/>
        <v>6.6227183513248269</v>
      </c>
      <c r="AL48" s="57">
        <f t="shared" si="158"/>
        <v>10.840944280885401</v>
      </c>
      <c r="AM48" s="57">
        <f t="shared" si="159"/>
        <v>2.3008505070330387</v>
      </c>
      <c r="AN48" s="57">
        <f t="shared" si="160"/>
        <v>0.23837640388180134</v>
      </c>
      <c r="AO48" s="57">
        <f t="shared" si="161"/>
        <v>0</v>
      </c>
      <c r="AP48" s="57">
        <f t="shared" si="162"/>
        <v>95.05</v>
      </c>
      <c r="AQ48" s="57"/>
      <c r="AR48" s="84">
        <f t="shared" si="163"/>
        <v>47.863469268059724</v>
      </c>
      <c r="AS48" s="85">
        <f t="shared" si="164"/>
        <v>0.88636054200110603</v>
      </c>
      <c r="AT48" s="85">
        <f t="shared" si="165"/>
        <v>17.23249797937034</v>
      </c>
      <c r="AU48" s="85">
        <f t="shared" si="166"/>
        <v>8.4410381848709974</v>
      </c>
      <c r="AV48" s="85">
        <f t="shared" si="167"/>
        <v>0.20613035860490836</v>
      </c>
      <c r="AW48" s="85">
        <f t="shared" si="168"/>
        <v>6.5858649574268204</v>
      </c>
      <c r="AX48" s="85">
        <f t="shared" si="169"/>
        <v>10.780617755036708</v>
      </c>
      <c r="AY48" s="85">
        <f t="shared" si="170"/>
        <v>2.2880469805144825</v>
      </c>
      <c r="AZ48" s="85">
        <f t="shared" si="171"/>
        <v>0.2370499123956446</v>
      </c>
      <c r="BA48" s="85">
        <f t="shared" si="172"/>
        <v>0</v>
      </c>
      <c r="BB48" s="85">
        <f t="shared" si="173"/>
        <v>94.521075938280731</v>
      </c>
      <c r="BC48" s="85">
        <f t="shared" si="174"/>
        <v>5.3373246228036457</v>
      </c>
      <c r="BD48" s="85">
        <f t="shared" si="175"/>
        <v>3.6326376237866325</v>
      </c>
      <c r="BE48" s="85">
        <f t="shared" si="176"/>
        <v>100.00000000000003</v>
      </c>
      <c r="BF48" s="84">
        <f t="shared" si="177"/>
        <v>50.356096021104392</v>
      </c>
      <c r="BG48" s="85">
        <f t="shared" si="178"/>
        <v>0.93252029668711844</v>
      </c>
      <c r="BH48" s="85">
        <f t="shared" si="179"/>
        <v>18.129929489079789</v>
      </c>
      <c r="BI48" s="85">
        <f t="shared" si="180"/>
        <v>5.6152810339859496</v>
      </c>
      <c r="BJ48" s="85">
        <f t="shared" si="181"/>
        <v>3.8218175947255473</v>
      </c>
      <c r="BK48" s="85">
        <f t="shared" si="182"/>
        <v>0.21686518527607404</v>
      </c>
      <c r="BL48" s="85">
        <f t="shared" si="183"/>
        <v>6.9288426695705629</v>
      </c>
      <c r="BM48" s="85">
        <f t="shared" si="184"/>
        <v>11.342049189938672</v>
      </c>
      <c r="BN48" s="85">
        <f t="shared" si="185"/>
        <v>2.4072035565644212</v>
      </c>
      <c r="BO48" s="85">
        <f t="shared" si="186"/>
        <v>0.24939496306748513</v>
      </c>
      <c r="BP48" s="85">
        <f t="shared" si="187"/>
        <v>0</v>
      </c>
      <c r="BQ48" s="85">
        <f t="shared" si="188"/>
        <v>100.00000000000001</v>
      </c>
      <c r="BR48" s="85"/>
      <c r="BS48" s="82">
        <f>AR48/Weights!$B$5*2+AS48/Weights!$B$7*2+AT48/Weights!$B$8*3+'Data and calc.'!BC48/Weights!$B$20*3+'Data and calc.'!BD48/Weights!$B$10+'Data and calc.'!AV48/Weights!$B$11+'Data and calc.'!AW48/Weights!$B$13+'Data and calc.'!AX48/Weights!$B$14+'Data and calc.'!AY48/Weights!$B$15+AZ48/Weights!$B$16+B48/Weights!$B$19+'Data and calc.'!BA48/Weights!$B$6*5</f>
        <v>2.946073551351299</v>
      </c>
      <c r="BT48" s="84">
        <f>AR48/Weights!$B$5*8/'Data and calc.'!$BS48</f>
        <v>2.1632114187684568</v>
      </c>
      <c r="BU48" s="85">
        <f>AS48/Weights!$B$7*8/'Data and calc.'!$BS48</f>
        <v>3.0137020962194349E-2</v>
      </c>
      <c r="BV48" s="85">
        <f>AT48/Weights!$B$8*8/'Data and calc.'!$BS48*2</f>
        <v>0.91789811699318113</v>
      </c>
      <c r="BW48" s="85">
        <f>BC48/Weights!$B$20*8/'Data and calc.'!$BS48*2</f>
        <v>0.18152249549786081</v>
      </c>
      <c r="BX48" s="85">
        <f>BD48/Weights!$B$10*8/'Data and calc.'!$BS48</f>
        <v>0.1373023512077142</v>
      </c>
      <c r="BY48" s="85">
        <f>AV48/Weights!$B$11*8/'Data and calc.'!$BS48</f>
        <v>7.8906953016158136E-3</v>
      </c>
      <c r="BZ48" s="85">
        <f>AW48/Weights!$B$13*8/'Data and calc.'!$BS48</f>
        <v>0.44372211352848312</v>
      </c>
      <c r="CA48" s="85">
        <f>AX48/Weights!$B$14*8/'Data and calc.'!$BS48</f>
        <v>0.52204179912635729</v>
      </c>
      <c r="CB48" s="85">
        <f>AY48/Weights!$B$15*8/'Data and calc.'!$BS48*2</f>
        <v>0.20049336438547308</v>
      </c>
      <c r="CC48" s="85">
        <f>AZ48/Weights!$B$16*8/'Data and calc.'!$BS48*2</f>
        <v>1.3667389767070041E-2</v>
      </c>
      <c r="CD48" s="85">
        <f>BA48/Weights!$B$6*8/'Data and calc.'!$BS48*2</f>
        <v>0</v>
      </c>
      <c r="CE48" s="85">
        <f>B48/Weights!$B$19*8/'Data and calc.'!$BS48*2</f>
        <v>1.4922697311233828</v>
      </c>
      <c r="CF48" s="85">
        <f t="shared" si="189"/>
        <v>13.171076208886772</v>
      </c>
      <c r="CG48" s="85">
        <f t="shared" si="190"/>
        <v>0.85913216087976163</v>
      </c>
      <c r="CH48" s="85">
        <f t="shared" si="191"/>
        <v>0.32314991832620149</v>
      </c>
      <c r="CI48" s="85">
        <f>AR48/Weights!$B$5*2+AS48/Weights!$B$7*2+AT48/Weights!$B$8*3+'Data and calc.'!BC48/Weights!$B$20*3+'Data and calc.'!BD48/Weights!$B$10+'Data and calc.'!AV48/Weights!$B$11+'Data and calc.'!AW48/Weights!$B$13+'Data and calc.'!AX48/Weights!$B$14+'Data and calc.'!AY48/Weights!$B$15+AZ48/Weights!$B$16+'Data and calc.'!BA48/Weights!$B$6*5</f>
        <v>2.6713025272047544</v>
      </c>
      <c r="CJ48" s="84">
        <f>AR48/Weights!$B$5*8/'Data and calc.'!$CI48</f>
        <v>2.3857200305513664</v>
      </c>
      <c r="CK48" s="85">
        <f>AS48/Weights!$B$7*8/'Data and calc.'!$CI48</f>
        <v>3.3236924484979925E-2</v>
      </c>
      <c r="CL48" s="85">
        <f>AT48/Weights!$B$8*8/'Data and calc.'!$CI48*2</f>
        <v>1.0123134080730405</v>
      </c>
      <c r="CM48" s="85">
        <f>BC48/Weights!$B$20*8/'Data and calc.'!$CI48*2</f>
        <v>0.20019395688631503</v>
      </c>
      <c r="CN48" s="85">
        <f>BD48/Weights!$B$10*8/'Data and calc.'!$CI48</f>
        <v>0.15142531454670724</v>
      </c>
      <c r="CO48" s="85">
        <f>AV48/Weights!$B$11*8/'Data and calc.'!$CI48</f>
        <v>8.7023347199044043E-3</v>
      </c>
      <c r="CP48" s="85">
        <f>AW48/Weights!$B$13*8/'Data and calc.'!$CI48</f>
        <v>0.48936351068549838</v>
      </c>
      <c r="CQ48" s="85">
        <f>AX48/Weights!$B$14*8/'Data and calc.'!$CI48</f>
        <v>0.57573918395358281</v>
      </c>
      <c r="CR48" s="85">
        <f>AY48/Weights!$B$15*8/'Data and calc.'!$CI48*2</f>
        <v>0.22111617535717856</v>
      </c>
      <c r="CS48" s="85">
        <f>AZ48/Weights!$B$16*8/'Data and calc.'!$CI48*2</f>
        <v>1.5073221807979868E-2</v>
      </c>
      <c r="CT48" s="85">
        <f>BA48/Weights!$B$6*8/'Data and calc.'!$CI48*2</f>
        <v>0</v>
      </c>
      <c r="CU48" s="85">
        <f t="shared" si="192"/>
        <v>7.9999999999999973</v>
      </c>
      <c r="CV48" s="85">
        <f t="shared" si="193"/>
        <v>14.525857279982807</v>
      </c>
      <c r="CW48" s="85">
        <f t="shared" si="194"/>
        <v>0.40593617067919802</v>
      </c>
      <c r="CX48" s="113"/>
      <c r="CY48" s="90">
        <f t="shared" si="88"/>
        <v>4.569054362896751E-2</v>
      </c>
      <c r="CZ48" s="91">
        <f t="shared" si="195"/>
        <v>4.3694134854086872</v>
      </c>
      <c r="DA48" s="85">
        <f t="shared" si="135"/>
        <v>-0.58058651459131294</v>
      </c>
      <c r="DB48" s="85">
        <f t="shared" si="136"/>
        <v>0.58058651459131294</v>
      </c>
      <c r="DC48" s="85">
        <f t="shared" si="196"/>
        <v>0.33708070092528886</v>
      </c>
      <c r="DD48" s="117"/>
      <c r="DE48" s="97"/>
      <c r="DF48" s="91">
        <f t="shared" si="138"/>
        <v>4.3816811411634653</v>
      </c>
      <c r="DG48" s="85">
        <f t="shared" si="139"/>
        <v>-0.56831885883653488</v>
      </c>
      <c r="DH48" s="85">
        <f t="shared" si="140"/>
        <v>0.56831885883653488</v>
      </c>
      <c r="DI48" s="85">
        <f t="shared" si="197"/>
        <v>0.32298632530926125</v>
      </c>
      <c r="DK48" s="117"/>
      <c r="DL48" s="99">
        <f>'Eq. 3 coef.'!$B$15+'Eq. 3 coef.'!$B$16*'Data and calc.'!G48^2+'Eq. 3 coef.'!$B$17*'Data and calc.'!G48+'Eq. 3 coef.'!$B$18*'Data and calc.'!BF48+'Eq. 3 coef.'!$B$19*'Data and calc.'!BG48+'Eq. 3 coef.'!$B$20*'Data and calc.'!BH48+'Eq. 3 coef.'!$B$21*'Data and calc.'!BI48+'Eq. 3 coef.'!$B$22*'Data and calc.'!BJ48+'Eq. 3 coef.'!$B$23*'Data and calc.'!BK48+'Eq. 3 coef.'!$B$24*'Data and calc.'!BL48+'Eq. 3 coef.'!$B$25*'Data and calc.'!BM48+'Eq. 3 coef.'!$B$26*'Data and calc.'!BN48+'Eq. 3 coef.'!$B$27*'Data and calc.'!BO48+'Eq. 3 coef.'!$B$28*'Data and calc.'!BP48</f>
        <v>4.5931264821397235</v>
      </c>
      <c r="DM48" s="85">
        <f t="shared" si="198"/>
        <v>-0.35687351786027666</v>
      </c>
      <c r="DN48" s="85">
        <f t="shared" si="143"/>
        <v>0.35687351786027666</v>
      </c>
      <c r="DO48" s="85">
        <f t="shared" si="33"/>
        <v>0.12735870774996921</v>
      </c>
      <c r="DP48" s="117"/>
      <c r="DQ48" s="99">
        <f>'Eq. 4 coef.'!$B$15+'Eq. 4 coef.'!$B$16*'Data and calc.'!G48^2+'Eq. 4 coef.'!$B$17*'Data and calc.'!G48+'Eq. 4 coef.'!$B$18*'Data and calc.'!O48+'Eq. 4 coef.'!$B$19*'Data and calc.'!P48+'Eq. 4 coef.'!$B$20*'Data and calc.'!Q48+'Eq. 4 coef.'!$B$21*'Data and calc.'!R48+'Eq. 4 coef.'!$B$22*'Data and calc.'!S48+'Eq. 4 coef.'!$B$23*'Data and calc.'!T48+'Eq. 4 coef.'!$B$24*'Data and calc.'!U48+'Eq. 4 coef.'!$B$25*'Data and calc.'!V48+'Eq. 4 coef.'!$B$26*'Data and calc.'!W48+'Eq. 4 coef.'!$B$27*'Data and calc.'!X48</f>
        <v>4.5904552121712641</v>
      </c>
      <c r="DR48" s="85">
        <f t="shared" si="199"/>
        <v>-0.35954478782873611</v>
      </c>
      <c r="DS48" s="85">
        <f t="shared" si="145"/>
        <v>0.35954478782873611</v>
      </c>
      <c r="DT48" s="85">
        <f t="shared" si="200"/>
        <v>0.12927245445481086</v>
      </c>
    </row>
    <row r="49" spans="1:125" ht="15" x14ac:dyDescent="0.2">
      <c r="A49" s="66" t="s">
        <v>630</v>
      </c>
      <c r="B49" s="73">
        <v>1.67</v>
      </c>
      <c r="C49" s="73">
        <v>0.14000000000000001</v>
      </c>
      <c r="D49" s="126">
        <f t="shared" si="111"/>
        <v>8.383233532934133</v>
      </c>
      <c r="E49" s="72">
        <f t="shared" si="112"/>
        <v>1.6983626563612325E-2</v>
      </c>
      <c r="F49" s="64">
        <f t="shared" si="113"/>
        <v>5.3965545321402519</v>
      </c>
      <c r="G49" s="73">
        <v>2.3230485427860201</v>
      </c>
      <c r="H49" s="73">
        <v>8.8652224530205853E-2</v>
      </c>
      <c r="I49" s="126">
        <f t="shared" si="106"/>
        <v>3.8162019818959831</v>
      </c>
      <c r="J49" s="70">
        <v>1250</v>
      </c>
      <c r="K49" s="70">
        <v>50</v>
      </c>
      <c r="L49" s="73">
        <v>0.55091337666860085</v>
      </c>
      <c r="M49" s="70">
        <v>2.6</v>
      </c>
      <c r="N49" s="64">
        <f t="shared" si="147"/>
        <v>2.0821666351181447</v>
      </c>
      <c r="O49" s="76">
        <v>49.707051684452793</v>
      </c>
      <c r="P49" s="73">
        <v>0.94161958568738202</v>
      </c>
      <c r="Q49" s="73">
        <v>18.413894120108807</v>
      </c>
      <c r="R49" s="73">
        <v>9.5626700146474146</v>
      </c>
      <c r="S49" s="73">
        <v>0.15693659761456366</v>
      </c>
      <c r="T49" s="73">
        <v>7.2609332496338128</v>
      </c>
      <c r="U49" s="73">
        <v>11.299435028248585</v>
      </c>
      <c r="V49" s="73">
        <v>2.4063611634233095</v>
      </c>
      <c r="W49" s="73">
        <v>0.25109855618330185</v>
      </c>
      <c r="X49" s="73">
        <v>0</v>
      </c>
      <c r="Y49" s="73">
        <f t="shared" si="148"/>
        <v>99.999999999999957</v>
      </c>
      <c r="Z49" s="73">
        <v>2.6574597196066114</v>
      </c>
      <c r="AA49" s="73">
        <v>1.0635689822146144</v>
      </c>
      <c r="AB49" s="59">
        <f t="shared" si="149"/>
        <v>5.1939095656632253</v>
      </c>
      <c r="AC49" s="60">
        <f t="shared" si="150"/>
        <v>4.8834722077436084</v>
      </c>
      <c r="AD49" s="57">
        <f t="shared" si="151"/>
        <v>100.51471175875942</v>
      </c>
      <c r="AE49" s="57"/>
      <c r="AF49" s="57">
        <f t="shared" si="152"/>
        <v>48.876943921322429</v>
      </c>
      <c r="AG49" s="57">
        <f t="shared" si="153"/>
        <v>0.92589453860640281</v>
      </c>
      <c r="AH49" s="57">
        <f t="shared" si="154"/>
        <v>18.10638208830299</v>
      </c>
      <c r="AI49" s="57">
        <f t="shared" si="155"/>
        <v>9.4029734254028021</v>
      </c>
      <c r="AJ49" s="57">
        <f t="shared" si="156"/>
        <v>0.15431575643440046</v>
      </c>
      <c r="AK49" s="57">
        <f t="shared" si="157"/>
        <v>7.139675664364928</v>
      </c>
      <c r="AL49" s="57">
        <f t="shared" si="158"/>
        <v>11.110734463276833</v>
      </c>
      <c r="AM49" s="57">
        <f t="shared" si="159"/>
        <v>2.3661749319941401</v>
      </c>
      <c r="AN49" s="57">
        <f t="shared" si="160"/>
        <v>0.2469052102950407</v>
      </c>
      <c r="AO49" s="57">
        <f t="shared" si="161"/>
        <v>0</v>
      </c>
      <c r="AP49" s="57">
        <f t="shared" si="162"/>
        <v>98.329999999999956</v>
      </c>
      <c r="AQ49" s="57"/>
      <c r="AR49" s="84">
        <f t="shared" si="163"/>
        <v>48.626656800876731</v>
      </c>
      <c r="AS49" s="85">
        <f t="shared" si="164"/>
        <v>0.92115325448935104</v>
      </c>
      <c r="AT49" s="85">
        <f t="shared" si="165"/>
        <v>18.013663643347311</v>
      </c>
      <c r="AU49" s="85">
        <f t="shared" si="166"/>
        <v>9.3548230511474113</v>
      </c>
      <c r="AV49" s="85">
        <f t="shared" si="167"/>
        <v>0.15352554241489183</v>
      </c>
      <c r="AW49" s="85">
        <f t="shared" si="168"/>
        <v>7.1031150957289952</v>
      </c>
      <c r="AX49" s="85">
        <f t="shared" si="169"/>
        <v>11.053839053872212</v>
      </c>
      <c r="AY49" s="85">
        <f t="shared" si="170"/>
        <v>2.3540583170283411</v>
      </c>
      <c r="AZ49" s="85">
        <f t="shared" si="171"/>
        <v>0.24564086786382688</v>
      </c>
      <c r="BA49" s="85">
        <f t="shared" si="172"/>
        <v>0</v>
      </c>
      <c r="BB49" s="85">
        <f t="shared" si="173"/>
        <v>97.826475626769081</v>
      </c>
      <c r="BC49" s="85">
        <f t="shared" si="174"/>
        <v>5.0810186753299638</v>
      </c>
      <c r="BD49" s="85">
        <f t="shared" si="175"/>
        <v>4.777328749048344</v>
      </c>
      <c r="BE49" s="85">
        <f t="shared" si="176"/>
        <v>99.999999999999986</v>
      </c>
      <c r="BF49" s="84">
        <f t="shared" si="177"/>
        <v>49.452513781019768</v>
      </c>
      <c r="BG49" s="85">
        <f t="shared" si="178"/>
        <v>0.93679777737145442</v>
      </c>
      <c r="BH49" s="85">
        <f t="shared" si="179"/>
        <v>18.319600979708444</v>
      </c>
      <c r="BI49" s="85">
        <f t="shared" si="180"/>
        <v>5.1673127990745078</v>
      </c>
      <c r="BJ49" s="85">
        <f t="shared" si="181"/>
        <v>4.8584651164937904</v>
      </c>
      <c r="BK49" s="85">
        <f t="shared" si="182"/>
        <v>0.15613296289524239</v>
      </c>
      <c r="BL49" s="85">
        <f t="shared" si="183"/>
        <v>7.2237517499532133</v>
      </c>
      <c r="BM49" s="85">
        <f t="shared" si="184"/>
        <v>11.24157332845745</v>
      </c>
      <c r="BN49" s="85">
        <f t="shared" si="185"/>
        <v>2.3940387643937164</v>
      </c>
      <c r="BO49" s="85">
        <f t="shared" si="186"/>
        <v>0.24981274063238776</v>
      </c>
      <c r="BP49" s="85">
        <f t="shared" si="187"/>
        <v>0</v>
      </c>
      <c r="BQ49" s="85">
        <f t="shared" si="188"/>
        <v>99.999999999999972</v>
      </c>
      <c r="BR49" s="85"/>
      <c r="BS49" s="82">
        <f>AR49/Weights!$B$5*2+AS49/Weights!$B$7*2+AT49/Weights!$B$8*3+'Data and calc.'!BC49/Weights!$B$20*3+'Data and calc.'!BD49/Weights!$B$10+'Data and calc.'!AV49/Weights!$B$11+'Data and calc.'!AW49/Weights!$B$13+'Data and calc.'!AX49/Weights!$B$14+'Data and calc.'!AY49/Weights!$B$15+AZ49/Weights!$B$16+B49/Weights!$B$19+'Data and calc.'!BA49/Weights!$B$6*5</f>
        <v>2.8425017645249318</v>
      </c>
      <c r="BT49" s="84">
        <f>AR49/Weights!$B$5*8/'Data and calc.'!$BS49</f>
        <v>2.2777814227187632</v>
      </c>
      <c r="BU49" s="85">
        <f>AS49/Weights!$B$7*8/'Data and calc.'!$BS49</f>
        <v>3.2461205114584959E-2</v>
      </c>
      <c r="BV49" s="85">
        <f>AT49/Weights!$B$8*8/'Data and calc.'!$BS49*2</f>
        <v>0.99446873544400161</v>
      </c>
      <c r="BW49" s="85">
        <f>BC49/Weights!$B$20*8/'Data and calc.'!$BS49*2</f>
        <v>0.17910201373962401</v>
      </c>
      <c r="BX49" s="85">
        <f>BD49/Weights!$B$10*8/'Data and calc.'!$BS49</f>
        <v>0.18714743014050231</v>
      </c>
      <c r="BY49" s="85">
        <f>AV49/Weights!$B$11*8/'Data and calc.'!$BS49</f>
        <v>6.0911149762511649E-3</v>
      </c>
      <c r="BZ49" s="85">
        <f>AW49/Weights!$B$13*8/'Data and calc.'!$BS49</f>
        <v>0.49600944423894266</v>
      </c>
      <c r="CA49" s="85">
        <f>AX49/Weights!$B$14*8/'Data and calc.'!$BS49</f>
        <v>0.55477592877143789</v>
      </c>
      <c r="CB49" s="85">
        <f>AY49/Weights!$B$15*8/'Data and calc.'!$BS49*2</f>
        <v>0.21379380939968864</v>
      </c>
      <c r="CC49" s="85">
        <f>AZ49/Weights!$B$16*8/'Data and calc.'!$BS49*2</f>
        <v>1.4678755817193596E-2</v>
      </c>
      <c r="CD49" s="85">
        <f>BA49/Weights!$B$6*8/'Data and calc.'!$BS49*2</f>
        <v>0</v>
      </c>
      <c r="CE49" s="85">
        <f>B49/Weights!$B$19*8/'Data and calc.'!$BS49*2</f>
        <v>0.52179683964458534</v>
      </c>
      <c r="CF49" s="85">
        <f t="shared" si="189"/>
        <v>13.935253508067895</v>
      </c>
      <c r="CG49" s="85">
        <f t="shared" si="190"/>
        <v>0.59266851248503183</v>
      </c>
      <c r="CH49" s="85">
        <f t="shared" si="191"/>
        <v>0.1052793014048118</v>
      </c>
      <c r="CI49" s="85">
        <f>AR49/Weights!$B$5*2+AS49/Weights!$B$7*2+AT49/Weights!$B$8*3+'Data and calc.'!BC49/Weights!$B$20*3+'Data and calc.'!BD49/Weights!$B$10+'Data and calc.'!AV49/Weights!$B$11+'Data and calc.'!AW49/Weights!$B$13+'Data and calc.'!AX49/Weights!$B$14+'Data and calc.'!AY49/Weights!$B$15+AZ49/Weights!$B$16+'Data and calc.'!BA49/Weights!$B$6*5</f>
        <v>2.7498012371866025</v>
      </c>
      <c r="CJ49" s="84">
        <f>AR49/Weights!$B$5*8/'Data and calc.'!$CI49</f>
        <v>2.3545693505849656</v>
      </c>
      <c r="CK49" s="85">
        <f>AS49/Weights!$B$7*8/'Data and calc.'!$CI49</f>
        <v>3.3555528148361193E-2</v>
      </c>
      <c r="CL49" s="85">
        <f>AT49/Weights!$B$8*8/'Data and calc.'!$CI49*2</f>
        <v>1.0279939862695704</v>
      </c>
      <c r="CM49" s="85">
        <f>BC49/Weights!$B$20*8/'Data and calc.'!$CI49*2</f>
        <v>0.18513985054633322</v>
      </c>
      <c r="CN49" s="85">
        <f>BD49/Weights!$B$10*8/'Data and calc.'!$CI49</f>
        <v>0.1934564917662755</v>
      </c>
      <c r="CO49" s="85">
        <f>AV49/Weights!$B$11*8/'Data and calc.'!$CI49</f>
        <v>6.2964569343319562E-3</v>
      </c>
      <c r="CP49" s="85">
        <f>AW49/Weights!$B$13*8/'Data and calc.'!$CI49</f>
        <v>0.512730775375147</v>
      </c>
      <c r="CQ49" s="85">
        <f>AX49/Weights!$B$14*8/'Data and calc.'!$CI49</f>
        <v>0.57347837913630184</v>
      </c>
      <c r="CR49" s="85">
        <f>AY49/Weights!$B$15*8/'Data and calc.'!$CI49*2</f>
        <v>0.22100116628243502</v>
      </c>
      <c r="CS49" s="85">
        <f>AZ49/Weights!$B$16*8/'Data and calc.'!$CI49*2</f>
        <v>1.5173601912439598E-2</v>
      </c>
      <c r="CT49" s="85">
        <f>BA49/Weights!$B$6*8/'Data and calc.'!$CI49*2</f>
        <v>0</v>
      </c>
      <c r="CU49" s="85">
        <f t="shared" si="192"/>
        <v>8.0000000000000018</v>
      </c>
      <c r="CV49" s="85">
        <f t="shared" si="193"/>
        <v>14.405034862196922</v>
      </c>
      <c r="CW49" s="85">
        <f t="shared" si="194"/>
        <v>0.44289101777566353</v>
      </c>
      <c r="CX49" s="113"/>
      <c r="CY49" s="90">
        <f t="shared" si="88"/>
        <v>1.6331447953387632E-2</v>
      </c>
      <c r="CZ49" s="91">
        <f t="shared" si="195"/>
        <v>1.6069017628328517</v>
      </c>
      <c r="DA49" s="85">
        <f t="shared" si="135"/>
        <v>-6.3098237167148241E-2</v>
      </c>
      <c r="DB49" s="85">
        <f t="shared" si="136"/>
        <v>6.3098237167148241E-2</v>
      </c>
      <c r="DC49" s="85">
        <f t="shared" si="196"/>
        <v>3.9813875336016874E-3</v>
      </c>
      <c r="DD49" s="117"/>
      <c r="DE49" s="97"/>
      <c r="DF49" s="91">
        <f t="shared" si="138"/>
        <v>1.6093504691472289</v>
      </c>
      <c r="DG49" s="85">
        <f t="shared" si="139"/>
        <v>-6.0649530852771028E-2</v>
      </c>
      <c r="DH49" s="85">
        <f t="shared" si="140"/>
        <v>6.0649530852771028E-2</v>
      </c>
      <c r="DI49" s="85">
        <f t="shared" si="197"/>
        <v>3.6783655926612246E-3</v>
      </c>
      <c r="DK49" s="117"/>
      <c r="DL49" s="99">
        <f>'Eq. 3 coef.'!$B$15+'Eq. 3 coef.'!$B$16*'Data and calc.'!G49^2+'Eq. 3 coef.'!$B$17*'Data and calc.'!G49+'Eq. 3 coef.'!$B$18*'Data and calc.'!BF49+'Eq. 3 coef.'!$B$19*'Data and calc.'!BG49+'Eq. 3 coef.'!$B$20*'Data and calc.'!BH49+'Eq. 3 coef.'!$B$21*'Data and calc.'!BI49+'Eq. 3 coef.'!$B$22*'Data and calc.'!BJ49+'Eq. 3 coef.'!$B$23*'Data and calc.'!BK49+'Eq. 3 coef.'!$B$24*'Data and calc.'!BL49+'Eq. 3 coef.'!$B$25*'Data and calc.'!BM49+'Eq. 3 coef.'!$B$26*'Data and calc.'!BN49+'Eq. 3 coef.'!$B$27*'Data and calc.'!BO49+'Eq. 3 coef.'!$B$28*'Data and calc.'!BP49</f>
        <v>1.7977656071243473</v>
      </c>
      <c r="DM49" s="85">
        <f t="shared" si="198"/>
        <v>0.12776560712434737</v>
      </c>
      <c r="DN49" s="85">
        <f t="shared" si="143"/>
        <v>0.12776560712434737</v>
      </c>
      <c r="DO49" s="85">
        <f t="shared" si="33"/>
        <v>1.6324050363853083E-2</v>
      </c>
      <c r="DP49" s="117"/>
      <c r="DQ49" s="99">
        <f>'Eq. 4 coef.'!$B$15+'Eq. 4 coef.'!$B$16*'Data and calc.'!G49^2+'Eq. 4 coef.'!$B$17*'Data and calc.'!G49+'Eq. 4 coef.'!$B$18*'Data and calc.'!O49+'Eq. 4 coef.'!$B$19*'Data and calc.'!P49+'Eq. 4 coef.'!$B$20*'Data and calc.'!Q49+'Eq. 4 coef.'!$B$21*'Data and calc.'!R49+'Eq. 4 coef.'!$B$22*'Data and calc.'!S49+'Eq. 4 coef.'!$B$23*'Data and calc.'!T49+'Eq. 4 coef.'!$B$24*'Data and calc.'!U49+'Eq. 4 coef.'!$B$25*'Data and calc.'!V49+'Eq. 4 coef.'!$B$26*'Data and calc.'!W49+'Eq. 4 coef.'!$B$27*'Data and calc.'!X49</f>
        <v>1.8556829349158761</v>
      </c>
      <c r="DR49" s="85">
        <f t="shared" si="199"/>
        <v>0.18568293491587617</v>
      </c>
      <c r="DS49" s="85">
        <f t="shared" si="145"/>
        <v>0.18568293491587617</v>
      </c>
      <c r="DT49" s="85">
        <f t="shared" si="200"/>
        <v>3.4478152318973505E-2</v>
      </c>
    </row>
    <row r="50" spans="1:125" ht="15" x14ac:dyDescent="0.2">
      <c r="A50" s="66" t="s">
        <v>632</v>
      </c>
      <c r="B50" s="73">
        <v>1.07</v>
      </c>
      <c r="C50" s="73">
        <v>0.12</v>
      </c>
      <c r="D50" s="126">
        <f t="shared" si="111"/>
        <v>11.214953271028037</v>
      </c>
      <c r="E50" s="72">
        <f t="shared" si="112"/>
        <v>1.0815728292732234E-2</v>
      </c>
      <c r="F50" s="64">
        <f t="shared" si="113"/>
        <v>2.2421362659695401</v>
      </c>
      <c r="G50" s="73">
        <v>1.4973764610042259</v>
      </c>
      <c r="H50" s="73">
        <v>4.5239314893423824E-2</v>
      </c>
      <c r="I50" s="126">
        <f t="shared" si="106"/>
        <v>3.0212385509976407</v>
      </c>
      <c r="J50" s="70">
        <v>1250</v>
      </c>
      <c r="K50" s="70">
        <v>50</v>
      </c>
      <c r="L50" s="73">
        <v>0.26016831636593346</v>
      </c>
      <c r="M50" s="70">
        <v>2.6</v>
      </c>
      <c r="N50" s="64">
        <f t="shared" si="147"/>
        <v>1.4305088130040582</v>
      </c>
      <c r="O50" s="76">
        <v>50.605151546498405</v>
      </c>
      <c r="P50" s="73">
        <v>0.95169132098893139</v>
      </c>
      <c r="Q50" s="73">
        <v>18.289024516395987</v>
      </c>
      <c r="R50" s="73">
        <v>8.751422364746043</v>
      </c>
      <c r="S50" s="73">
        <v>0.1137891796834592</v>
      </c>
      <c r="T50" s="73">
        <v>7.127340436536671</v>
      </c>
      <c r="U50" s="73">
        <v>11.492707148029375</v>
      </c>
      <c r="V50" s="73">
        <v>2.4206061859935866</v>
      </c>
      <c r="W50" s="73">
        <v>0.2482673011275473</v>
      </c>
      <c r="X50" s="73">
        <v>0</v>
      </c>
      <c r="Y50" s="73">
        <f t="shared" si="148"/>
        <v>100.00000000000001</v>
      </c>
      <c r="Z50" s="73">
        <v>2.6688734871211337</v>
      </c>
      <c r="AA50" s="73">
        <v>0.7241842710999814</v>
      </c>
      <c r="AB50" s="59">
        <f t="shared" si="149"/>
        <v>3.8353742336782961</v>
      </c>
      <c r="AC50" s="60">
        <f t="shared" si="150"/>
        <v>5.2961302623331639</v>
      </c>
      <c r="AD50" s="57">
        <f t="shared" si="151"/>
        <v>100.38008213126541</v>
      </c>
      <c r="AE50" s="57"/>
      <c r="AF50" s="57">
        <f t="shared" si="152"/>
        <v>50.06367642495087</v>
      </c>
      <c r="AG50" s="57">
        <f t="shared" si="153"/>
        <v>0.94150822385434996</v>
      </c>
      <c r="AH50" s="57">
        <f t="shared" si="154"/>
        <v>18.093331954070553</v>
      </c>
      <c r="AI50" s="57">
        <f t="shared" si="155"/>
        <v>8.6577821454432602</v>
      </c>
      <c r="AJ50" s="57">
        <f t="shared" si="156"/>
        <v>0.1125716354608462</v>
      </c>
      <c r="AK50" s="57">
        <f t="shared" si="157"/>
        <v>7.0510778938657293</v>
      </c>
      <c r="AL50" s="57">
        <f t="shared" si="158"/>
        <v>11.369735181545462</v>
      </c>
      <c r="AM50" s="57">
        <f t="shared" si="159"/>
        <v>2.3947056998034553</v>
      </c>
      <c r="AN50" s="57">
        <f t="shared" si="160"/>
        <v>0.24561084100548258</v>
      </c>
      <c r="AO50" s="57">
        <f t="shared" si="161"/>
        <v>0</v>
      </c>
      <c r="AP50" s="57">
        <f t="shared" si="162"/>
        <v>98.930000000000021</v>
      </c>
      <c r="AQ50" s="57"/>
      <c r="AR50" s="84">
        <f t="shared" si="163"/>
        <v>49.87411383015548</v>
      </c>
      <c r="AS50" s="85">
        <f t="shared" si="164"/>
        <v>0.93794326908714309</v>
      </c>
      <c r="AT50" s="85">
        <f t="shared" si="165"/>
        <v>18.024822823326836</v>
      </c>
      <c r="AU50" s="85">
        <f t="shared" si="166"/>
        <v>8.6250000613882936</v>
      </c>
      <c r="AV50" s="85">
        <f t="shared" si="167"/>
        <v>0.11214539086911494</v>
      </c>
      <c r="AW50" s="85">
        <f t="shared" si="168"/>
        <v>7.0243794826200165</v>
      </c>
      <c r="AX50" s="85">
        <f t="shared" si="169"/>
        <v>11.326684477780605</v>
      </c>
      <c r="AY50" s="85">
        <f t="shared" si="170"/>
        <v>2.3856383148520814</v>
      </c>
      <c r="AZ50" s="85">
        <f t="shared" si="171"/>
        <v>0.24468085280534163</v>
      </c>
      <c r="BA50" s="85">
        <f t="shared" si="172"/>
        <v>0</v>
      </c>
      <c r="BB50" s="85">
        <f t="shared" si="173"/>
        <v>98.55540850288493</v>
      </c>
      <c r="BC50" s="85">
        <f t="shared" si="174"/>
        <v>3.7799687436160365</v>
      </c>
      <c r="BD50" s="85">
        <f t="shared" si="175"/>
        <v>5.2196228148873605</v>
      </c>
      <c r="BE50" s="85">
        <f t="shared" si="176"/>
        <v>100.00000000000003</v>
      </c>
      <c r="BF50" s="84">
        <f t="shared" si="177"/>
        <v>50.413538694183238</v>
      </c>
      <c r="BG50" s="85">
        <f t="shared" si="178"/>
        <v>0.94808780863958664</v>
      </c>
      <c r="BH50" s="85">
        <f t="shared" si="179"/>
        <v>18.219774409508577</v>
      </c>
      <c r="BI50" s="85">
        <f t="shared" si="180"/>
        <v>3.8208518585020079</v>
      </c>
      <c r="BJ50" s="85">
        <f t="shared" si="181"/>
        <v>5.2760768370437283</v>
      </c>
      <c r="BK50" s="85">
        <f t="shared" si="182"/>
        <v>0.11335832494603755</v>
      </c>
      <c r="BL50" s="85">
        <f t="shared" si="183"/>
        <v>7.1003532625290777</v>
      </c>
      <c r="BM50" s="85">
        <f t="shared" si="184"/>
        <v>11.449190819549786</v>
      </c>
      <c r="BN50" s="85">
        <f t="shared" si="185"/>
        <v>2.411440730670253</v>
      </c>
      <c r="BO50" s="85">
        <f t="shared" si="186"/>
        <v>0.24732725442771819</v>
      </c>
      <c r="BP50" s="85">
        <f t="shared" si="187"/>
        <v>0</v>
      </c>
      <c r="BQ50" s="85">
        <f t="shared" si="188"/>
        <v>100.00000000000001</v>
      </c>
      <c r="BR50" s="85"/>
      <c r="BS50" s="82">
        <f>AR50/Weights!$B$5*2+AS50/Weights!$B$7*2+AT50/Weights!$B$8*3+'Data and calc.'!BC50/Weights!$B$20*3+'Data and calc.'!BD50/Weights!$B$10+'Data and calc.'!AV50/Weights!$B$11+'Data and calc.'!AW50/Weights!$B$13+'Data and calc.'!AX50/Weights!$B$14+'Data and calc.'!AY50/Weights!$B$15+AZ50/Weights!$B$16+B50/Weights!$B$19+'Data and calc.'!BA50/Weights!$B$6*5</f>
        <v>2.8360112635382029</v>
      </c>
      <c r="BT50" s="84">
        <f>AR50/Weights!$B$5*8/'Data and calc.'!$BS50</f>
        <v>2.3415617680682392</v>
      </c>
      <c r="BU50" s="85">
        <f>AS50/Weights!$B$7*8/'Data and calc.'!$BS50</f>
        <v>3.3128525823850771E-2</v>
      </c>
      <c r="BV50" s="85">
        <f>AT50/Weights!$B$8*8/'Data and calc.'!$BS50*2</f>
        <v>0.99736214613682561</v>
      </c>
      <c r="BW50" s="85">
        <f>BC50/Weights!$B$20*8/'Data and calc.'!$BS50*2</f>
        <v>0.13354593651066735</v>
      </c>
      <c r="BX50" s="85">
        <f>BD50/Weights!$B$10*8/'Data and calc.'!$BS50</f>
        <v>0.20494184997471696</v>
      </c>
      <c r="BY50" s="85">
        <f>AV50/Weights!$B$11*8/'Data and calc.'!$BS50</f>
        <v>4.4595432217425781E-3</v>
      </c>
      <c r="BZ50" s="85">
        <f>AW50/Weights!$B$13*8/'Data and calc.'!$BS50</f>
        <v>0.49163393362109614</v>
      </c>
      <c r="CA50" s="85">
        <f>AX50/Weights!$B$14*8/'Data and calc.'!$BS50</f>
        <v>0.56977064015204348</v>
      </c>
      <c r="CB50" s="85">
        <f>AY50/Weights!$B$15*8/'Data and calc.'!$BS50*2</f>
        <v>0.21715773390772919</v>
      </c>
      <c r="CC50" s="85">
        <f>AZ50/Weights!$B$16*8/'Data and calc.'!$BS50*2</f>
        <v>1.4654850756927304E-2</v>
      </c>
      <c r="CD50" s="85">
        <f>BA50/Weights!$B$6*8/'Data and calc.'!$BS50*2</f>
        <v>0</v>
      </c>
      <c r="CE50" s="85">
        <f>B50/Weights!$B$19*8/'Data and calc.'!$BS50*2</f>
        <v>0.33509005788530466</v>
      </c>
      <c r="CF50" s="85">
        <f t="shared" si="189"/>
        <v>14.022393506158332</v>
      </c>
      <c r="CG50" s="85">
        <f t="shared" si="190"/>
        <v>0.56412808354669142</v>
      </c>
      <c r="CH50" s="85">
        <f t="shared" si="191"/>
        <v>6.6908055839244474E-2</v>
      </c>
      <c r="CI50" s="85">
        <f>AR50/Weights!$B$5*2+AS50/Weights!$B$7*2+AT50/Weights!$B$8*3+'Data and calc.'!BC50/Weights!$B$20*3+'Data and calc.'!BD50/Weights!$B$10+'Data and calc.'!AV50/Weights!$B$11+'Data and calc.'!AW50/Weights!$B$13+'Data and calc.'!AX50/Weights!$B$14+'Data and calc.'!AY50/Weights!$B$15+AZ50/Weights!$B$16+'Data and calc.'!BA50/Weights!$B$6*5</f>
        <v>2.7766163148843033</v>
      </c>
      <c r="CJ50" s="84">
        <f>AR50/Weights!$B$5*8/'Data and calc.'!$CI50</f>
        <v>2.3916504102183316</v>
      </c>
      <c r="CK50" s="85">
        <f>AS50/Weights!$B$7*8/'Data and calc.'!$CI50</f>
        <v>3.383718228450007E-2</v>
      </c>
      <c r="CL50" s="85">
        <f>AT50/Weights!$B$8*8/'Data and calc.'!$CI50*2</f>
        <v>1.018696845188181</v>
      </c>
      <c r="CM50" s="85">
        <f>BC50/Weights!$B$20*8/'Data and calc.'!$CI50*2</f>
        <v>0.13640263442728912</v>
      </c>
      <c r="CN50" s="85">
        <f>BD50/Weights!$B$10*8/'Data and calc.'!$CI50</f>
        <v>0.20932578685178266</v>
      </c>
      <c r="CO50" s="85">
        <f>AV50/Weights!$B$11*8/'Data and calc.'!$CI50</f>
        <v>4.5549378714301722E-3</v>
      </c>
      <c r="CP50" s="85">
        <f>AW50/Weights!$B$13*8/'Data and calc.'!$CI50</f>
        <v>0.50215053690092537</v>
      </c>
      <c r="CQ50" s="85">
        <f>AX50/Weights!$B$14*8/'Data and calc.'!$CI50</f>
        <v>0.5819586755442292</v>
      </c>
      <c r="CR50" s="85">
        <f>AY50/Weights!$B$15*8/'Data and calc.'!$CI50*2</f>
        <v>0.2218029822937253</v>
      </c>
      <c r="CS50" s="85">
        <f>AZ50/Weights!$B$16*8/'Data and calc.'!$CI50*2</f>
        <v>1.4968334511802715E-2</v>
      </c>
      <c r="CT50" s="85">
        <f>BA50/Weights!$B$6*8/'Data and calc.'!$CI50*2</f>
        <v>0</v>
      </c>
      <c r="CU50" s="85">
        <f t="shared" si="192"/>
        <v>7.9999999999999991</v>
      </c>
      <c r="CV50" s="85">
        <f t="shared" si="193"/>
        <v>14.322348288473208</v>
      </c>
      <c r="CW50" s="85">
        <f t="shared" si="194"/>
        <v>0.46854096206471552</v>
      </c>
      <c r="CX50" s="113"/>
      <c r="CY50" s="90">
        <f t="shared" si="88"/>
        <v>9.2224113292463852E-3</v>
      </c>
      <c r="CZ50" s="91">
        <f t="shared" si="195"/>
        <v>0.91381356831935112</v>
      </c>
      <c r="DA50" s="85">
        <f t="shared" si="135"/>
        <v>-0.15618643168064894</v>
      </c>
      <c r="DB50" s="85">
        <f t="shared" si="136"/>
        <v>0.15618643168064894</v>
      </c>
      <c r="DC50" s="85">
        <f t="shared" si="196"/>
        <v>2.4394201441134019E-2</v>
      </c>
      <c r="DD50" s="117"/>
      <c r="DE50" s="97"/>
      <c r="DF50" s="91">
        <f t="shared" si="138"/>
        <v>0.90794522217552132</v>
      </c>
      <c r="DG50" s="85">
        <f t="shared" si="139"/>
        <v>-0.16205477782447875</v>
      </c>
      <c r="DH50" s="85">
        <f t="shared" si="140"/>
        <v>0.16205477782447875</v>
      </c>
      <c r="DI50" s="85">
        <f t="shared" si="197"/>
        <v>2.6261751015741169E-2</v>
      </c>
      <c r="DK50" s="117"/>
      <c r="DL50" s="99">
        <f>'Eq. 3 coef.'!$B$15+'Eq. 3 coef.'!$B$16*'Data and calc.'!G50^2+'Eq. 3 coef.'!$B$17*'Data and calc.'!G50+'Eq. 3 coef.'!$B$18*'Data and calc.'!BF50+'Eq. 3 coef.'!$B$19*'Data and calc.'!BG50+'Eq. 3 coef.'!$B$20*'Data and calc.'!BH50+'Eq. 3 coef.'!$B$21*'Data and calc.'!BI50+'Eq. 3 coef.'!$B$22*'Data and calc.'!BJ50+'Eq. 3 coef.'!$B$23*'Data and calc.'!BK50+'Eq. 3 coef.'!$B$24*'Data and calc.'!BL50+'Eq. 3 coef.'!$B$25*'Data and calc.'!BM50+'Eq. 3 coef.'!$B$26*'Data and calc.'!BN50+'Eq. 3 coef.'!$B$27*'Data and calc.'!BO50+'Eq. 3 coef.'!$B$28*'Data and calc.'!BP50</f>
        <v>0.96042909955576761</v>
      </c>
      <c r="DM50" s="85">
        <f t="shared" si="198"/>
        <v>-0.10957090044423246</v>
      </c>
      <c r="DN50" s="85">
        <f t="shared" si="143"/>
        <v>0.10957090044423246</v>
      </c>
      <c r="DO50" s="85">
        <f t="shared" si="33"/>
        <v>1.20057822241599E-2</v>
      </c>
      <c r="DP50" s="117"/>
      <c r="DQ50" s="99">
        <f>'Eq. 4 coef.'!$B$15+'Eq. 4 coef.'!$B$16*'Data and calc.'!G50^2+'Eq. 4 coef.'!$B$17*'Data and calc.'!G50+'Eq. 4 coef.'!$B$18*'Data and calc.'!O50+'Eq. 4 coef.'!$B$19*'Data and calc.'!P50+'Eq. 4 coef.'!$B$20*'Data and calc.'!Q50+'Eq. 4 coef.'!$B$21*'Data and calc.'!R50+'Eq. 4 coef.'!$B$22*'Data and calc.'!S50+'Eq. 4 coef.'!$B$23*'Data and calc.'!T50+'Eq. 4 coef.'!$B$24*'Data and calc.'!U50+'Eq. 4 coef.'!$B$25*'Data and calc.'!V50+'Eq. 4 coef.'!$B$26*'Data and calc.'!W50+'Eq. 4 coef.'!$B$27*'Data and calc.'!X50</f>
        <v>1.0537925277012619</v>
      </c>
      <c r="DR50" s="85">
        <f t="shared" si="199"/>
        <v>-1.6207472298738201E-2</v>
      </c>
      <c r="DS50" s="85">
        <f t="shared" si="145"/>
        <v>1.6207472298738201E-2</v>
      </c>
      <c r="DT50" s="85">
        <f t="shared" si="200"/>
        <v>2.6268215831436615E-4</v>
      </c>
    </row>
    <row r="51" spans="1:125" ht="15" x14ac:dyDescent="0.2">
      <c r="A51" s="66" t="s">
        <v>579</v>
      </c>
      <c r="B51" s="73">
        <v>5.6512888145479492</v>
      </c>
      <c r="C51" s="73">
        <v>0.12</v>
      </c>
      <c r="D51" s="126">
        <f t="shared" si="111"/>
        <v>2.1234094369958139</v>
      </c>
      <c r="E51" s="72">
        <f t="shared" si="112"/>
        <v>5.9897890957299485E-2</v>
      </c>
      <c r="F51" s="64">
        <f t="shared" si="113"/>
        <v>43.220621774645316</v>
      </c>
      <c r="G51" s="73">
        <v>6.5742392544419399</v>
      </c>
      <c r="H51" s="73">
        <v>6.6850248249033462E-2</v>
      </c>
      <c r="I51" s="126">
        <f t="shared" si="106"/>
        <v>1.0168514661809049</v>
      </c>
      <c r="J51" s="70">
        <v>1250</v>
      </c>
      <c r="K51" s="70">
        <v>400</v>
      </c>
      <c r="L51" s="73">
        <v>0.84394604670867757</v>
      </c>
      <c r="M51" s="70">
        <v>2.6</v>
      </c>
      <c r="N51" s="64">
        <f t="shared" si="147"/>
        <v>2.4526293663184311</v>
      </c>
      <c r="O51" s="76">
        <v>50.301634309531636</v>
      </c>
      <c r="P51" s="73">
        <v>0.94329274980805067</v>
      </c>
      <c r="Q51" s="73">
        <v>18.207743775364701</v>
      </c>
      <c r="R51" s="73">
        <v>9.421958977733901</v>
      </c>
      <c r="S51" s="73">
        <v>0.15355928485247339</v>
      </c>
      <c r="T51" s="73">
        <v>6.9759789404409336</v>
      </c>
      <c r="U51" s="73">
        <v>11.374355599429634</v>
      </c>
      <c r="V51" s="73">
        <v>2.380168915213337</v>
      </c>
      <c r="W51" s="73">
        <v>0.24130744762531531</v>
      </c>
      <c r="X51" s="73">
        <v>0</v>
      </c>
      <c r="Y51" s="73">
        <f t="shared" si="148"/>
        <v>99.999999999999986</v>
      </c>
      <c r="Z51" s="73">
        <v>2.6214763628386524</v>
      </c>
      <c r="AA51" s="73">
        <v>1.4146912947221641</v>
      </c>
      <c r="AB51" s="59">
        <f t="shared" si="149"/>
        <v>5.8602694689494417</v>
      </c>
      <c r="AC51" s="60">
        <f t="shared" si="150"/>
        <v>4.1424369336353051</v>
      </c>
      <c r="AD51" s="57">
        <f t="shared" si="151"/>
        <v>100.58074742485084</v>
      </c>
      <c r="AE51" s="57"/>
      <c r="AF51" s="57">
        <f t="shared" si="152"/>
        <v>47.458943676262258</v>
      </c>
      <c r="AG51" s="57">
        <f t="shared" si="153"/>
        <v>0.88998455214970651</v>
      </c>
      <c r="AH51" s="57">
        <f t="shared" si="154"/>
        <v>17.178771588005965</v>
      </c>
      <c r="AI51" s="57">
        <f t="shared" si="155"/>
        <v>8.8894968639139282</v>
      </c>
      <c r="AJ51" s="57">
        <f t="shared" si="156"/>
        <v>0.14488120616390573</v>
      </c>
      <c r="AK51" s="57">
        <f t="shared" si="157"/>
        <v>6.5817462228745738</v>
      </c>
      <c r="AL51" s="57">
        <f t="shared" si="158"/>
        <v>10.731557913712159</v>
      </c>
      <c r="AM51" s="57">
        <f t="shared" si="159"/>
        <v>2.2456586955405382</v>
      </c>
      <c r="AN51" s="57">
        <f t="shared" si="160"/>
        <v>0.22767046682899469</v>
      </c>
      <c r="AO51" s="57">
        <f t="shared" si="161"/>
        <v>0</v>
      </c>
      <c r="AP51" s="57">
        <f t="shared" si="162"/>
        <v>94.348711185452032</v>
      </c>
      <c r="AQ51" s="57"/>
      <c r="AR51" s="84">
        <f t="shared" si="163"/>
        <v>47.184918477287447</v>
      </c>
      <c r="AS51" s="85">
        <f t="shared" si="164"/>
        <v>0.88484583276204098</v>
      </c>
      <c r="AT51" s="85">
        <f t="shared" si="165"/>
        <v>17.079582353313814</v>
      </c>
      <c r="AU51" s="85">
        <f t="shared" si="166"/>
        <v>8.8381694225882921</v>
      </c>
      <c r="AV51" s="85">
        <f t="shared" si="167"/>
        <v>0.14404467044963459</v>
      </c>
      <c r="AW51" s="85">
        <f t="shared" si="168"/>
        <v>6.5437436004262564</v>
      </c>
      <c r="AX51" s="85">
        <f t="shared" si="169"/>
        <v>10.669594518305075</v>
      </c>
      <c r="AY51" s="85">
        <f t="shared" si="170"/>
        <v>2.2326923919693358</v>
      </c>
      <c r="AZ51" s="85">
        <f t="shared" si="171"/>
        <v>0.22635591070656863</v>
      </c>
      <c r="BA51" s="85">
        <f t="shared" si="172"/>
        <v>0</v>
      </c>
      <c r="BB51" s="85">
        <f t="shared" si="173"/>
        <v>93.803947177808467</v>
      </c>
      <c r="BC51" s="85">
        <f t="shared" si="174"/>
        <v>5.497164077130571</v>
      </c>
      <c r="BD51" s="85">
        <f t="shared" si="175"/>
        <v>3.8857693531012911</v>
      </c>
      <c r="BE51" s="85">
        <f t="shared" si="176"/>
        <v>100</v>
      </c>
      <c r="BF51" s="84">
        <f t="shared" si="177"/>
        <v>50.011195579069081</v>
      </c>
      <c r="BG51" s="85">
        <f t="shared" si="178"/>
        <v>0.93784623196684258</v>
      </c>
      <c r="BH51" s="85">
        <f t="shared" si="179"/>
        <v>18.102613314708822</v>
      </c>
      <c r="BI51" s="85">
        <f t="shared" si="180"/>
        <v>5.8264326115969229</v>
      </c>
      <c r="BJ51" s="85">
        <f t="shared" si="181"/>
        <v>4.1185187420985683</v>
      </c>
      <c r="BK51" s="85">
        <f t="shared" si="182"/>
        <v>0.15267264241320694</v>
      </c>
      <c r="BL51" s="85">
        <f t="shared" si="183"/>
        <v>6.9357000410571148</v>
      </c>
      <c r="BM51" s="85">
        <f t="shared" si="184"/>
        <v>11.308680727321114</v>
      </c>
      <c r="BN51" s="85">
        <f t="shared" si="185"/>
        <v>2.3664259574047071</v>
      </c>
      <c r="BO51" s="85">
        <f t="shared" si="186"/>
        <v>0.23991415236361088</v>
      </c>
      <c r="BP51" s="85">
        <f t="shared" si="187"/>
        <v>0</v>
      </c>
      <c r="BQ51" s="85">
        <f t="shared" si="188"/>
        <v>100</v>
      </c>
      <c r="BR51" s="85"/>
      <c r="BS51" s="82">
        <f>AR51/Weights!$B$5*2+AS51/Weights!$B$7*2+AT51/Weights!$B$8*3+'Data and calc.'!BC51/Weights!$B$20*3+'Data and calc.'!BD51/Weights!$B$10+'Data and calc.'!AV51/Weights!$B$11+'Data and calc.'!AW51/Weights!$B$13+'Data and calc.'!AX51/Weights!$B$14+'Data and calc.'!AY51/Weights!$B$15+AZ51/Weights!$B$16+B51/Weights!$B$19+'Data and calc.'!BA51/Weights!$B$6*5</f>
        <v>2.959496688185518</v>
      </c>
      <c r="BT51" s="84">
        <f>AR51/Weights!$B$5*8/'Data and calc.'!$BS51</f>
        <v>2.1228716069045395</v>
      </c>
      <c r="BU51" s="85">
        <f>AS51/Weights!$B$7*8/'Data and calc.'!$BS51</f>
        <v>2.9949063218727798E-2</v>
      </c>
      <c r="BV51" s="85">
        <f>AT51/Weights!$B$8*8/'Data and calc.'!$BS51*2</f>
        <v>0.905626696253374</v>
      </c>
      <c r="BW51" s="85">
        <f>BC51/Weights!$B$20*8/'Data and calc.'!$BS51*2</f>
        <v>0.18611066553152827</v>
      </c>
      <c r="BX51" s="85">
        <f>BD51/Weights!$B$10*8/'Data and calc.'!$BS51</f>
        <v>0.14620379414574833</v>
      </c>
      <c r="BY51" s="85">
        <f>AV51/Weights!$B$11*8/'Data and calc.'!$BS51</f>
        <v>5.4890379811257375E-3</v>
      </c>
      <c r="BZ51" s="85">
        <f>AW51/Weights!$B$13*8/'Data and calc.'!$BS51</f>
        <v>0.43888450970326393</v>
      </c>
      <c r="CA51" s="85">
        <f>AX51/Weights!$B$14*8/'Data and calc.'!$BS51</f>
        <v>0.51432220180647614</v>
      </c>
      <c r="CB51" s="85">
        <f>AY51/Weights!$B$15*8/'Data and calc.'!$BS51*2</f>
        <v>0.19475547944137286</v>
      </c>
      <c r="CC51" s="85">
        <f>AZ51/Weights!$B$16*8/'Data and calc.'!$BS51*2</f>
        <v>1.299162113314563E-2</v>
      </c>
      <c r="CD51" s="85">
        <f>BA51/Weights!$B$6*8/'Data and calc.'!$BS51*2</f>
        <v>0</v>
      </c>
      <c r="CE51" s="85">
        <f>B51/Weights!$B$19*8/'Data and calc.'!$BS51*2</f>
        <v>1.6959590463044769</v>
      </c>
      <c r="CF51" s="85">
        <f t="shared" si="189"/>
        <v>12.978232127632678</v>
      </c>
      <c r="CG51" s="85">
        <f t="shared" si="190"/>
        <v>0.9313342041196836</v>
      </c>
      <c r="CH51" s="85">
        <f t="shared" si="191"/>
        <v>0.37214897439029992</v>
      </c>
      <c r="CI51" s="85">
        <f>AR51/Weights!$B$5*2+AS51/Weights!$B$7*2+AT51/Weights!$B$8*3+'Data and calc.'!BC51/Weights!$B$20*3+'Data and calc.'!BD51/Weights!$B$10+'Data and calc.'!AV51/Weights!$B$11+'Data and calc.'!AW51/Weights!$B$13+'Data and calc.'!AX51/Weights!$B$14+'Data and calc.'!AY51/Weights!$B$15+AZ51/Weights!$B$16+'Data and calc.'!BA51/Weights!$B$6*5</f>
        <v>2.6457976143832451</v>
      </c>
      <c r="CJ51" s="84">
        <f>AR51/Weights!$B$5*8/'Data and calc.'!$CI51</f>
        <v>2.3745699428871774</v>
      </c>
      <c r="CK51" s="85">
        <f>AS51/Weights!$B$7*8/'Data and calc.'!$CI51</f>
        <v>3.3499974800886234E-2</v>
      </c>
      <c r="CL51" s="85">
        <f>AT51/Weights!$B$8*8/'Data and calc.'!$CI51*2</f>
        <v>1.0130023527589531</v>
      </c>
      <c r="CM51" s="85">
        <f>BC51/Weights!$B$20*8/'Data and calc.'!$CI51*2</f>
        <v>0.20817688219321895</v>
      </c>
      <c r="CN51" s="85">
        <f>BD51/Weights!$B$10*8/'Data and calc.'!$CI51</f>
        <v>0.16353845140016973</v>
      </c>
      <c r="CO51" s="85">
        <f>AV51/Weights!$B$11*8/'Data and calc.'!$CI51</f>
        <v>6.1398459346078604E-3</v>
      </c>
      <c r="CP51" s="85">
        <f>AW51/Weights!$B$13*8/'Data and calc.'!$CI51</f>
        <v>0.49092086480904634</v>
      </c>
      <c r="CQ51" s="85">
        <f>AX51/Weights!$B$14*8/'Data and calc.'!$CI51</f>
        <v>0.57530282914756148</v>
      </c>
      <c r="CR51" s="85">
        <f>AY51/Weights!$B$15*8/'Data and calc.'!$CI51*2</f>
        <v>0.21784666872454025</v>
      </c>
      <c r="CS51" s="85">
        <f>AZ51/Weights!$B$16*8/'Data and calc.'!$CI51*2</f>
        <v>1.4531973083915621E-2</v>
      </c>
      <c r="CT51" s="85">
        <f>BA51/Weights!$B$6*8/'Data and calc.'!$CI51*2</f>
        <v>0</v>
      </c>
      <c r="CU51" s="85">
        <f t="shared" si="192"/>
        <v>7.9999999999999982</v>
      </c>
      <c r="CV51" s="85">
        <f t="shared" si="193"/>
        <v>14.516996610560941</v>
      </c>
      <c r="CW51" s="85">
        <f t="shared" si="194"/>
        <v>0.40862540075546799</v>
      </c>
      <c r="CX51" s="113"/>
      <c r="CY51" s="90">
        <f t="shared" si="88"/>
        <v>5.2934199980745097E-2</v>
      </c>
      <c r="CZ51" s="91">
        <f t="shared" si="195"/>
        <v>5.027303698722398</v>
      </c>
      <c r="DA51" s="85">
        <f t="shared" si="135"/>
        <v>-0.62398511582555116</v>
      </c>
      <c r="DB51" s="85">
        <f t="shared" si="136"/>
        <v>0.62398511582555116</v>
      </c>
      <c r="DC51" s="85">
        <f t="shared" si="196"/>
        <v>0.3893574247718265</v>
      </c>
      <c r="DD51" s="117"/>
      <c r="DE51" s="97"/>
      <c r="DF51" s="91">
        <f t="shared" si="138"/>
        <v>5.0348934222473272</v>
      </c>
      <c r="DG51" s="85">
        <f t="shared" si="139"/>
        <v>-0.61639539230062201</v>
      </c>
      <c r="DH51" s="85">
        <f t="shared" si="140"/>
        <v>0.61639539230062201</v>
      </c>
      <c r="DI51" s="85">
        <f t="shared" si="197"/>
        <v>0.37994327964943769</v>
      </c>
      <c r="DK51" s="117"/>
      <c r="DL51" s="99">
        <f>'Eq. 3 coef.'!$B$15+'Eq. 3 coef.'!$B$16*'Data and calc.'!G51^2+'Eq. 3 coef.'!$B$17*'Data and calc.'!G51+'Eq. 3 coef.'!$B$18*'Data and calc.'!BF51+'Eq. 3 coef.'!$B$19*'Data and calc.'!BG51+'Eq. 3 coef.'!$B$20*'Data and calc.'!BH51+'Eq. 3 coef.'!$B$21*'Data and calc.'!BI51+'Eq. 3 coef.'!$B$22*'Data and calc.'!BJ51+'Eq. 3 coef.'!$B$23*'Data and calc.'!BK51+'Eq. 3 coef.'!$B$24*'Data and calc.'!BL51+'Eq. 3 coef.'!$B$25*'Data and calc.'!BM51+'Eq. 3 coef.'!$B$26*'Data and calc.'!BN51+'Eq. 3 coef.'!$B$27*'Data and calc.'!BO51+'Eq. 3 coef.'!$B$28*'Data and calc.'!BP51</f>
        <v>5.2219319155656194</v>
      </c>
      <c r="DM51" s="85">
        <f t="shared" si="198"/>
        <v>-0.42935689898232976</v>
      </c>
      <c r="DN51" s="85">
        <f t="shared" si="143"/>
        <v>0.42935689898232976</v>
      </c>
      <c r="DO51" s="85">
        <f t="shared" si="33"/>
        <v>0.18434734670372252</v>
      </c>
      <c r="DP51" s="117"/>
      <c r="DQ51" s="99">
        <f>'Eq. 4 coef.'!$B$15+'Eq. 4 coef.'!$B$16*'Data and calc.'!G51^2+'Eq. 4 coef.'!$B$17*'Data and calc.'!G51+'Eq. 4 coef.'!$B$18*'Data and calc.'!O51+'Eq. 4 coef.'!$B$19*'Data and calc.'!P51+'Eq. 4 coef.'!$B$20*'Data and calc.'!Q51+'Eq. 4 coef.'!$B$21*'Data and calc.'!R51+'Eq. 4 coef.'!$B$22*'Data and calc.'!S51+'Eq. 4 coef.'!$B$23*'Data and calc.'!T51+'Eq. 4 coef.'!$B$24*'Data and calc.'!U51+'Eq. 4 coef.'!$B$25*'Data and calc.'!V51+'Eq. 4 coef.'!$B$26*'Data and calc.'!W51+'Eq. 4 coef.'!$B$27*'Data and calc.'!X51</f>
        <v>5.2237174381307341</v>
      </c>
      <c r="DR51" s="85">
        <f t="shared" si="199"/>
        <v>-0.4275713764172151</v>
      </c>
      <c r="DS51" s="85">
        <f t="shared" si="145"/>
        <v>0.4275713764172151</v>
      </c>
      <c r="DT51" s="85">
        <f t="shared" si="200"/>
        <v>0.18281728193131183</v>
      </c>
    </row>
    <row r="52" spans="1:125" ht="15" x14ac:dyDescent="0.2">
      <c r="A52" s="66" t="s">
        <v>634</v>
      </c>
      <c r="B52" s="73">
        <v>6.25</v>
      </c>
      <c r="C52" s="73">
        <v>0.12</v>
      </c>
      <c r="D52" s="126">
        <f t="shared" si="111"/>
        <v>1.92</v>
      </c>
      <c r="E52" s="72">
        <f t="shared" si="112"/>
        <v>6.6666666666666666E-2</v>
      </c>
      <c r="F52" s="64">
        <f t="shared" si="113"/>
        <v>56.602068900329947</v>
      </c>
      <c r="G52" s="73">
        <v>7.5234346478407019</v>
      </c>
      <c r="H52" s="73">
        <v>9.9910539675324136E-2</v>
      </c>
      <c r="I52" s="126">
        <f t="shared" si="106"/>
        <v>1.3279910619546542</v>
      </c>
      <c r="J52" s="70">
        <v>1250</v>
      </c>
      <c r="K52" s="70">
        <v>300</v>
      </c>
      <c r="L52" s="73">
        <v>1</v>
      </c>
      <c r="M52" s="70">
        <v>2.6</v>
      </c>
      <c r="N52" s="64">
        <f t="shared" si="147"/>
        <v>2.6</v>
      </c>
      <c r="O52" s="76">
        <v>50.418502202643168</v>
      </c>
      <c r="P52" s="73">
        <v>0.91409691629955925</v>
      </c>
      <c r="Q52" s="73">
        <v>18.204845814977972</v>
      </c>
      <c r="R52" s="73">
        <v>9.4052863436123335</v>
      </c>
      <c r="S52" s="73">
        <v>0.16519823788546253</v>
      </c>
      <c r="T52" s="73">
        <v>7.0264317180616738</v>
      </c>
      <c r="U52" s="73">
        <v>11.255506607929515</v>
      </c>
      <c r="V52" s="73">
        <v>2.3898678414096914</v>
      </c>
      <c r="W52" s="73">
        <v>0.22026431718061673</v>
      </c>
      <c r="X52" s="73">
        <v>0</v>
      </c>
      <c r="Y52" s="73">
        <f t="shared" si="148"/>
        <v>100</v>
      </c>
      <c r="Z52" s="73">
        <v>2.6101321585903081</v>
      </c>
      <c r="AA52" s="73">
        <v>1.5022270040062986</v>
      </c>
      <c r="AB52" s="59">
        <f t="shared" si="149"/>
        <v>6.0037092356712991</v>
      </c>
      <c r="AC52" s="60">
        <f t="shared" si="150"/>
        <v>3.9965392844490015</v>
      </c>
      <c r="AD52" s="57">
        <f t="shared" si="151"/>
        <v>100.59496217650796</v>
      </c>
      <c r="AE52" s="57"/>
      <c r="AF52" s="57">
        <f t="shared" si="152"/>
        <v>47.267345814977972</v>
      </c>
      <c r="AG52" s="57">
        <f t="shared" si="153"/>
        <v>0.85696585903083677</v>
      </c>
      <c r="AH52" s="57">
        <f t="shared" si="154"/>
        <v>17.067042951541847</v>
      </c>
      <c r="AI52" s="57">
        <f t="shared" si="155"/>
        <v>8.8174559471365619</v>
      </c>
      <c r="AJ52" s="57">
        <f t="shared" si="156"/>
        <v>0.15487334801762112</v>
      </c>
      <c r="AK52" s="57">
        <f t="shared" si="157"/>
        <v>6.5872797356828183</v>
      </c>
      <c r="AL52" s="57">
        <f t="shared" si="158"/>
        <v>10.552037444933921</v>
      </c>
      <c r="AM52" s="57">
        <f t="shared" si="159"/>
        <v>2.2405011013215859</v>
      </c>
      <c r="AN52" s="57">
        <f t="shared" si="160"/>
        <v>0.20649779735682819</v>
      </c>
      <c r="AO52" s="57">
        <f t="shared" si="161"/>
        <v>0</v>
      </c>
      <c r="AP52" s="57">
        <f t="shared" si="162"/>
        <v>93.749999999999986</v>
      </c>
      <c r="AQ52" s="57"/>
      <c r="AR52" s="84">
        <f t="shared" si="163"/>
        <v>46.987786259157581</v>
      </c>
      <c r="AS52" s="85">
        <f t="shared" si="164"/>
        <v>0.85189739176716428</v>
      </c>
      <c r="AT52" s="85">
        <f t="shared" si="165"/>
        <v>16.966101067362924</v>
      </c>
      <c r="AU52" s="85">
        <f t="shared" si="166"/>
        <v>8.7653056936043185</v>
      </c>
      <c r="AV52" s="85">
        <f t="shared" si="167"/>
        <v>0.15395735995792129</v>
      </c>
      <c r="AW52" s="85">
        <f t="shared" si="168"/>
        <v>6.5483197102102517</v>
      </c>
      <c r="AX52" s="85">
        <f t="shared" si="169"/>
        <v>10.489628125133038</v>
      </c>
      <c r="AY52" s="85">
        <f t="shared" si="170"/>
        <v>2.2272498073912614</v>
      </c>
      <c r="AZ52" s="85">
        <f t="shared" si="171"/>
        <v>0.20527647994389508</v>
      </c>
      <c r="BA52" s="85">
        <f t="shared" si="172"/>
        <v>0</v>
      </c>
      <c r="BB52" s="85">
        <f t="shared" si="173"/>
        <v>93.195521894528341</v>
      </c>
      <c r="BC52" s="85">
        <f t="shared" si="174"/>
        <v>5.5951881552138669</v>
      </c>
      <c r="BD52" s="85">
        <f t="shared" si="175"/>
        <v>3.7245956438620964</v>
      </c>
      <c r="BE52" s="85">
        <f t="shared" si="176"/>
        <v>99.999999999999986</v>
      </c>
      <c r="BF52" s="84">
        <f t="shared" si="177"/>
        <v>50.120305343101421</v>
      </c>
      <c r="BG52" s="85">
        <f t="shared" si="178"/>
        <v>0.90869055121830855</v>
      </c>
      <c r="BH52" s="85">
        <f t="shared" si="179"/>
        <v>18.097174471853787</v>
      </c>
      <c r="BI52" s="85">
        <f t="shared" si="180"/>
        <v>5.9682006988947913</v>
      </c>
      <c r="BJ52" s="85">
        <f t="shared" si="181"/>
        <v>3.9729020201195695</v>
      </c>
      <c r="BK52" s="85">
        <f t="shared" si="182"/>
        <v>0.16422118395511603</v>
      </c>
      <c r="BL52" s="85">
        <f t="shared" si="183"/>
        <v>6.9848743575576018</v>
      </c>
      <c r="BM52" s="85">
        <f t="shared" si="184"/>
        <v>11.188936666808575</v>
      </c>
      <c r="BN52" s="85">
        <f t="shared" si="185"/>
        <v>2.3757331278840121</v>
      </c>
      <c r="BO52" s="85">
        <f t="shared" si="186"/>
        <v>0.21896157860682142</v>
      </c>
      <c r="BP52" s="85">
        <f t="shared" si="187"/>
        <v>0</v>
      </c>
      <c r="BQ52" s="85">
        <f t="shared" si="188"/>
        <v>100.00000000000001</v>
      </c>
      <c r="BR52" s="85"/>
      <c r="BS52" s="82">
        <f>AR52/Weights!$B$5*2+AS52/Weights!$B$7*2+AT52/Weights!$B$8*3+'Data and calc.'!BC52/Weights!$B$20*3+'Data and calc.'!BD52/Weights!$B$10+'Data and calc.'!AV52/Weights!$B$11+'Data and calc.'!AW52/Weights!$B$13+'Data and calc.'!AX52/Weights!$B$14+'Data and calc.'!AY52/Weights!$B$15+AZ52/Weights!$B$16+B52/Weights!$B$19+'Data and calc.'!BA52/Weights!$B$6*5</f>
        <v>2.9783352122428379</v>
      </c>
      <c r="BT52" s="84">
        <f>AR52/Weights!$B$5*8/'Data and calc.'!$BS52</f>
        <v>2.1006310768253136</v>
      </c>
      <c r="BU52" s="85">
        <f>AS52/Weights!$B$7*8/'Data and calc.'!$BS52</f>
        <v>2.8651489433412079E-2</v>
      </c>
      <c r="BV52" s="85">
        <f>AT52/Weights!$B$8*8/'Data and calc.'!$BS52*2</f>
        <v>0.89391927451607744</v>
      </c>
      <c r="BW52" s="85">
        <f>BC52/Weights!$B$20*8/'Data and calc.'!$BS52*2</f>
        <v>0.18823116932143247</v>
      </c>
      <c r="BX52" s="85">
        <f>BD52/Weights!$B$10*8/'Data and calc.'!$BS52</f>
        <v>0.13925315311200753</v>
      </c>
      <c r="BY52" s="85">
        <f>AV52/Weights!$B$11*8/'Data and calc.'!$BS52</f>
        <v>5.8296674181190864E-3</v>
      </c>
      <c r="BZ52" s="85">
        <f>AW52/Weights!$B$13*8/'Data and calc.'!$BS52</f>
        <v>0.43641345888609612</v>
      </c>
      <c r="CA52" s="85">
        <f>AX52/Weights!$B$14*8/'Data and calc.'!$BS52</f>
        <v>0.50244870490653759</v>
      </c>
      <c r="CB52" s="85">
        <f>AY52/Weights!$B$15*8/'Data and calc.'!$BS52*2</f>
        <v>0.1930518666069736</v>
      </c>
      <c r="CC52" s="85">
        <f>AZ52/Weights!$B$16*8/'Data and calc.'!$BS52*2</f>
        <v>1.1707252402291406E-2</v>
      </c>
      <c r="CD52" s="85">
        <f>BA52/Weights!$B$6*8/'Data and calc.'!$BS52*2</f>
        <v>0</v>
      </c>
      <c r="CE52" s="85">
        <f>B52/Weights!$B$19*8/'Data and calc.'!$BS52*2</f>
        <v>1.863769315797781</v>
      </c>
      <c r="CF52" s="85">
        <f t="shared" si="189"/>
        <v>12.845732040384942</v>
      </c>
      <c r="CG52" s="85">
        <f t="shared" si="190"/>
        <v>0.98219951955981677</v>
      </c>
      <c r="CH52" s="85">
        <f t="shared" si="191"/>
        <v>0.41415833980621497</v>
      </c>
      <c r="CI52" s="85">
        <f>AR52/Weights!$B$5*2+AS52/Weights!$B$7*2+AT52/Weights!$B$8*3+'Data and calc.'!BC52/Weights!$B$20*3+'Data and calc.'!BD52/Weights!$B$10+'Data and calc.'!AV52/Weights!$B$11+'Data and calc.'!AW52/Weights!$B$13+'Data and calc.'!AX52/Weights!$B$14+'Data and calc.'!AY52/Weights!$B$15+AZ52/Weights!$B$16+'Data and calc.'!BA52/Weights!$B$6*5</f>
        <v>2.6314021009466959</v>
      </c>
      <c r="CJ52" s="84">
        <f>AR52/Weights!$B$5*8/'Data and calc.'!$CI52</f>
        <v>2.3775855091814249</v>
      </c>
      <c r="CK52" s="85">
        <f>AS52/Weights!$B$7*8/'Data and calc.'!$CI52</f>
        <v>3.2429000429859953E-2</v>
      </c>
      <c r="CL52" s="85">
        <f>AT52/Weights!$B$8*8/'Data and calc.'!$CI52*2</f>
        <v>1.0117766688853673</v>
      </c>
      <c r="CM52" s="85">
        <f>BC52/Weights!$B$20*8/'Data and calc.'!$CI52*2</f>
        <v>0.2130482146495111</v>
      </c>
      <c r="CN52" s="85">
        <f>BD52/Weights!$B$10*8/'Data and calc.'!$CI52</f>
        <v>0.15761276818169448</v>
      </c>
      <c r="CO52" s="85">
        <f>AV52/Weights!$B$11*8/'Data and calc.'!$CI52</f>
        <v>6.598270838501767E-3</v>
      </c>
      <c r="CP52" s="85">
        <f>AW52/Weights!$B$13*8/'Data and calc.'!$CI52</f>
        <v>0.49395171161014501</v>
      </c>
      <c r="CQ52" s="85">
        <f>AX52/Weights!$B$14*8/'Data and calc.'!$CI52</f>
        <v>0.56869327178486784</v>
      </c>
      <c r="CR52" s="85">
        <f>AY52/Weights!$B$15*8/'Data and calc.'!$CI52*2</f>
        <v>0.21850448925988902</v>
      </c>
      <c r="CS52" s="85">
        <f>AZ52/Weights!$B$16*8/'Data and calc.'!$CI52*2</f>
        <v>1.3250776859916085E-2</v>
      </c>
      <c r="CT52" s="85">
        <f>BA52/Weights!$B$6*8/'Data and calc.'!$CI52*2</f>
        <v>0</v>
      </c>
      <c r="CU52" s="85">
        <f t="shared" si="192"/>
        <v>7.9999999999999991</v>
      </c>
      <c r="CV52" s="85">
        <f t="shared" si="193"/>
        <v>14.539357572584652</v>
      </c>
      <c r="CW52" s="85">
        <f t="shared" si="194"/>
        <v>0.40184510770118986</v>
      </c>
      <c r="CX52" s="113"/>
      <c r="CY52" s="90">
        <f t="shared" si="88"/>
        <v>6.1106772317908446E-2</v>
      </c>
      <c r="CZ52" s="91">
        <f t="shared" si="195"/>
        <v>5.7587769593087481</v>
      </c>
      <c r="DA52" s="85">
        <f t="shared" si="135"/>
        <v>-0.49122304069125189</v>
      </c>
      <c r="DB52" s="85">
        <f t="shared" si="136"/>
        <v>0.49122304069125189</v>
      </c>
      <c r="DC52" s="85">
        <f t="shared" si="196"/>
        <v>0.24130007570595932</v>
      </c>
      <c r="DD52" s="117"/>
      <c r="DE52" s="97"/>
      <c r="DF52" s="91">
        <f t="shared" si="138"/>
        <v>5.7572396856763159</v>
      </c>
      <c r="DG52" s="85">
        <f t="shared" si="139"/>
        <v>-0.49276031432368406</v>
      </c>
      <c r="DH52" s="85">
        <f t="shared" si="140"/>
        <v>0.49276031432368406</v>
      </c>
      <c r="DI52" s="85">
        <f t="shared" si="197"/>
        <v>0.24281272737237591</v>
      </c>
      <c r="DK52" s="117"/>
      <c r="DL52" s="99">
        <f>'Eq. 3 coef.'!$B$15+'Eq. 3 coef.'!$B$16*'Data and calc.'!G52^2+'Eq. 3 coef.'!$B$17*'Data and calc.'!G52+'Eq. 3 coef.'!$B$18*'Data and calc.'!BF52+'Eq. 3 coef.'!$B$19*'Data and calc.'!BG52+'Eq. 3 coef.'!$B$20*'Data and calc.'!BH52+'Eq. 3 coef.'!$B$21*'Data and calc.'!BI52+'Eq. 3 coef.'!$B$22*'Data and calc.'!BJ52+'Eq. 3 coef.'!$B$23*'Data and calc.'!BK52+'Eq. 3 coef.'!$B$24*'Data and calc.'!BL52+'Eq. 3 coef.'!$B$25*'Data and calc.'!BM52+'Eq. 3 coef.'!$B$26*'Data and calc.'!BN52+'Eq. 3 coef.'!$B$27*'Data and calc.'!BO52+'Eq. 3 coef.'!$B$28*'Data and calc.'!BP52</f>
        <v>5.9488279623383278</v>
      </c>
      <c r="DM52" s="85">
        <f t="shared" si="198"/>
        <v>-0.30117203766167222</v>
      </c>
      <c r="DN52" s="85">
        <f t="shared" si="143"/>
        <v>0.30117203766167222</v>
      </c>
      <c r="DO52" s="85">
        <f t="shared" si="33"/>
        <v>9.0704596269283705E-2</v>
      </c>
      <c r="DP52" s="117"/>
      <c r="DQ52" s="99">
        <f>'Eq. 4 coef.'!$B$15+'Eq. 4 coef.'!$B$16*'Data and calc.'!G52^2+'Eq. 4 coef.'!$B$17*'Data and calc.'!G52+'Eq. 4 coef.'!$B$18*'Data and calc.'!O52+'Eq. 4 coef.'!$B$19*'Data and calc.'!P52+'Eq. 4 coef.'!$B$20*'Data and calc.'!Q52+'Eq. 4 coef.'!$B$21*'Data and calc.'!R52+'Eq. 4 coef.'!$B$22*'Data and calc.'!S52+'Eq. 4 coef.'!$B$23*'Data and calc.'!T52+'Eq. 4 coef.'!$B$24*'Data and calc.'!U52+'Eq. 4 coef.'!$B$25*'Data and calc.'!V52+'Eq. 4 coef.'!$B$26*'Data and calc.'!W52+'Eq. 4 coef.'!$B$27*'Data and calc.'!X52</f>
        <v>5.949758065242122</v>
      </c>
      <c r="DR52" s="85">
        <f t="shared" si="199"/>
        <v>-0.30024193475787797</v>
      </c>
      <c r="DS52" s="85">
        <f t="shared" si="145"/>
        <v>0.30024193475787797</v>
      </c>
      <c r="DT52" s="85">
        <f t="shared" si="200"/>
        <v>9.0145219387153849E-2</v>
      </c>
    </row>
    <row r="53" spans="1:125" ht="15" x14ac:dyDescent="0.2">
      <c r="A53" s="66" t="s">
        <v>635</v>
      </c>
      <c r="B53" s="73">
        <v>7.36</v>
      </c>
      <c r="C53" s="73">
        <v>0.12</v>
      </c>
      <c r="D53" s="126">
        <f t="shared" si="111"/>
        <v>1.6304347826086956</v>
      </c>
      <c r="E53" s="72">
        <f t="shared" si="112"/>
        <v>7.9447322970639042E-2</v>
      </c>
      <c r="F53" s="64">
        <f t="shared" si="113"/>
        <v>84.235397978989155</v>
      </c>
      <c r="G53" s="73">
        <v>9.1779844181055985</v>
      </c>
      <c r="H53" s="73">
        <v>0.17844442456715365</v>
      </c>
      <c r="I53" s="126">
        <f t="shared" si="106"/>
        <v>1.9442659350688443</v>
      </c>
      <c r="J53" s="70">
        <v>1250</v>
      </c>
      <c r="K53" s="70">
        <v>400</v>
      </c>
      <c r="L53" s="73">
        <v>1</v>
      </c>
      <c r="M53" s="70">
        <v>2.6</v>
      </c>
      <c r="N53" s="64">
        <f t="shared" si="147"/>
        <v>2.6</v>
      </c>
      <c r="O53" s="76">
        <v>50.311526479750775</v>
      </c>
      <c r="P53" s="73">
        <v>0.93457943925233644</v>
      </c>
      <c r="Q53" s="73">
        <v>18.213173119715176</v>
      </c>
      <c r="R53" s="73">
        <v>9.657320872274143</v>
      </c>
      <c r="S53" s="73">
        <v>0.15576323987538943</v>
      </c>
      <c r="T53" s="73">
        <v>6.7979528259902082</v>
      </c>
      <c r="U53" s="73">
        <v>11.181575433911881</v>
      </c>
      <c r="V53" s="73">
        <v>2.4922118380062308</v>
      </c>
      <c r="W53" s="73">
        <v>0.25589675122385402</v>
      </c>
      <c r="X53" s="73">
        <v>0</v>
      </c>
      <c r="Y53" s="73">
        <f t="shared" si="148"/>
        <v>99.999999999999986</v>
      </c>
      <c r="Z53" s="73">
        <v>2.7481085892300849</v>
      </c>
      <c r="AA53" s="73">
        <v>1.5615916572179191</v>
      </c>
      <c r="AB53" s="59">
        <f t="shared" si="149"/>
        <v>6.2658074064454663</v>
      </c>
      <c r="AC53" s="60">
        <f t="shared" si="150"/>
        <v>4.0124493349358854</v>
      </c>
      <c r="AD53" s="57">
        <f t="shared" si="151"/>
        <v>100.6209358691072</v>
      </c>
      <c r="AE53" s="57"/>
      <c r="AF53" s="57">
        <f t="shared" si="152"/>
        <v>46.608598130841116</v>
      </c>
      <c r="AG53" s="57">
        <f t="shared" si="153"/>
        <v>0.86579439252336443</v>
      </c>
      <c r="AH53" s="57">
        <f t="shared" si="154"/>
        <v>16.872683578104137</v>
      </c>
      <c r="AI53" s="57">
        <f t="shared" si="155"/>
        <v>8.9465420560747653</v>
      </c>
      <c r="AJ53" s="57">
        <f t="shared" si="156"/>
        <v>0.14429906542056078</v>
      </c>
      <c r="AK53" s="57">
        <f t="shared" si="157"/>
        <v>6.2976234979973285</v>
      </c>
      <c r="AL53" s="57">
        <f t="shared" si="158"/>
        <v>10.358611481975968</v>
      </c>
      <c r="AM53" s="57">
        <f t="shared" si="159"/>
        <v>2.3087850467289726</v>
      </c>
      <c r="AN53" s="57">
        <f t="shared" si="160"/>
        <v>0.23706275033377835</v>
      </c>
      <c r="AO53" s="57">
        <f t="shared" si="161"/>
        <v>0</v>
      </c>
      <c r="AP53" s="57">
        <f t="shared" si="162"/>
        <v>92.639999999999986</v>
      </c>
      <c r="AQ53" s="57"/>
      <c r="AR53" s="84">
        <f t="shared" si="163"/>
        <v>46.320974584724532</v>
      </c>
      <c r="AS53" s="85">
        <f t="shared" si="164"/>
        <v>0.86045154027352078</v>
      </c>
      <c r="AT53" s="85">
        <f t="shared" si="165"/>
        <v>16.768561564616114</v>
      </c>
      <c r="AU53" s="85">
        <f t="shared" si="166"/>
        <v>8.8913325828263812</v>
      </c>
      <c r="AV53" s="85">
        <f t="shared" si="167"/>
        <v>0.14340859004558681</v>
      </c>
      <c r="AW53" s="85">
        <f t="shared" si="168"/>
        <v>6.2587606084181084</v>
      </c>
      <c r="AX53" s="85">
        <f t="shared" si="169"/>
        <v>10.294688071129624</v>
      </c>
      <c r="AY53" s="85">
        <f t="shared" si="170"/>
        <v>2.294537440729389</v>
      </c>
      <c r="AZ53" s="85">
        <f t="shared" si="171"/>
        <v>0.235599826503464</v>
      </c>
      <c r="BA53" s="85">
        <f t="shared" si="172"/>
        <v>0</v>
      </c>
      <c r="BB53" s="85">
        <f t="shared" si="173"/>
        <v>92.068314809266724</v>
      </c>
      <c r="BC53" s="85">
        <f t="shared" si="174"/>
        <v>5.7688232883085631</v>
      </c>
      <c r="BD53" s="85">
        <f t="shared" si="175"/>
        <v>3.6941944852510997</v>
      </c>
      <c r="BE53" s="85">
        <f t="shared" si="176"/>
        <v>100.00000000000001</v>
      </c>
      <c r="BF53" s="84">
        <f t="shared" si="177"/>
        <v>50.001052012871909</v>
      </c>
      <c r="BG53" s="85">
        <f t="shared" si="178"/>
        <v>0.92881211169421507</v>
      </c>
      <c r="BH53" s="85">
        <f t="shared" si="179"/>
        <v>18.100778890993215</v>
      </c>
      <c r="BI53" s="85">
        <f t="shared" si="180"/>
        <v>6.2271408552553575</v>
      </c>
      <c r="BJ53" s="85">
        <f t="shared" si="181"/>
        <v>3.9876883476371976</v>
      </c>
      <c r="BK53" s="85">
        <f t="shared" si="182"/>
        <v>0.1548020186157025</v>
      </c>
      <c r="BL53" s="85">
        <f t="shared" si="183"/>
        <v>6.7560023838710155</v>
      </c>
      <c r="BM53" s="85">
        <f t="shared" si="184"/>
        <v>11.112573479198645</v>
      </c>
      <c r="BN53" s="85">
        <f t="shared" si="185"/>
        <v>2.47683229785124</v>
      </c>
      <c r="BO53" s="85">
        <f t="shared" si="186"/>
        <v>0.25431760201151121</v>
      </c>
      <c r="BP53" s="85">
        <f t="shared" si="187"/>
        <v>0</v>
      </c>
      <c r="BQ53" s="85">
        <f t="shared" si="188"/>
        <v>100.00000000000001</v>
      </c>
      <c r="BR53" s="85"/>
      <c r="BS53" s="82">
        <f>AR53/Weights!$B$5*2+AS53/Weights!$B$7*2+AT53/Weights!$B$8*3+'Data and calc.'!BC53/Weights!$B$20*3+'Data and calc.'!BD53/Weights!$B$10+'Data and calc.'!AV53/Weights!$B$11+'Data and calc.'!AW53/Weights!$B$13+'Data and calc.'!AX53/Weights!$B$14+'Data and calc.'!AY53/Weights!$B$15+AZ53/Weights!$B$16+B53/Weights!$B$19+'Data and calc.'!BA53/Weights!$B$6*5</f>
        <v>3.0055932260857881</v>
      </c>
      <c r="BT53" s="84">
        <f>AR53/Weights!$B$5*8/'Data and calc.'!$BS53</f>
        <v>2.0520401919533562</v>
      </c>
      <c r="BU53" s="85">
        <f>AS53/Weights!$B$7*8/'Data and calc.'!$BS53</f>
        <v>2.867673506777986E-2</v>
      </c>
      <c r="BV53" s="85">
        <f>AT53/Weights!$B$8*8/'Data and calc.'!$BS53*2</f>
        <v>0.87549855640115981</v>
      </c>
      <c r="BW53" s="85">
        <f>BC53/Weights!$B$20*8/'Data and calc.'!$BS53*2</f>
        <v>0.19231247325031983</v>
      </c>
      <c r="BX53" s="85">
        <f>BD53/Weights!$B$10*8/'Data and calc.'!$BS53</f>
        <v>0.13686393905786337</v>
      </c>
      <c r="BY53" s="85">
        <f>AV53/Weights!$B$11*8/'Data and calc.'!$BS53</f>
        <v>5.3809860054412906E-3</v>
      </c>
      <c r="BZ53" s="85">
        <f>AW53/Weights!$B$13*8/'Data and calc.'!$BS53</f>
        <v>0.41333289902131104</v>
      </c>
      <c r="CA53" s="85">
        <f>AX53/Weights!$B$14*8/'Data and calc.'!$BS53</f>
        <v>0.48863908711813336</v>
      </c>
      <c r="CB53" s="85">
        <f>AY53/Weights!$B$15*8/'Data and calc.'!$BS53*2</f>
        <v>0.19708047328639589</v>
      </c>
      <c r="CC53" s="85">
        <f>AZ53/Weights!$B$16*8/'Data and calc.'!$BS53*2</f>
        <v>1.3314784105356421E-2</v>
      </c>
      <c r="CD53" s="85">
        <f>BA53/Weights!$B$6*8/'Data and calc.'!$BS53*2</f>
        <v>0</v>
      </c>
      <c r="CE53" s="85">
        <f>B53/Weights!$B$19*8/'Data and calc.'!$BS53*2</f>
        <v>2.1748701231637702</v>
      </c>
      <c r="CF53" s="85">
        <f t="shared" si="189"/>
        <v>12.594111826690462</v>
      </c>
      <c r="CG53" s="85">
        <f t="shared" si="190"/>
        <v>1.0817398543632126</v>
      </c>
      <c r="CH53" s="85">
        <f t="shared" si="191"/>
        <v>0.49393615948841324</v>
      </c>
      <c r="CI53" s="85">
        <f>AR53/Weights!$B$5*2+AS53/Weights!$B$7*2+AT53/Weights!$B$8*3+'Data and calc.'!BC53/Weights!$B$20*3+'Data and calc.'!BD53/Weights!$B$10+'Data and calc.'!AV53/Weights!$B$11+'Data and calc.'!AW53/Weights!$B$13+'Data and calc.'!AX53/Weights!$B$14+'Data and calc.'!AY53/Weights!$B$15+AZ53/Weights!$B$16+'Data and calc.'!BA53/Weights!$B$6*5</f>
        <v>2.5970447942234509</v>
      </c>
      <c r="CJ53" s="84">
        <f>AR53/Weights!$B$5*8/'Data and calc.'!$CI53</f>
        <v>2.3748524146788839</v>
      </c>
      <c r="CK53" s="85">
        <f>AS53/Weights!$B$7*8/'Data and calc.'!$CI53</f>
        <v>3.3187953037116559E-2</v>
      </c>
      <c r="CL53" s="85">
        <f>AT53/Weights!$B$8*8/'Data and calc.'!$CI53*2</f>
        <v>1.0132257003884417</v>
      </c>
      <c r="CM53" s="85">
        <f>BC53/Weights!$B$20*8/'Data and calc.'!$CI53*2</f>
        <v>0.2225656901177166</v>
      </c>
      <c r="CN53" s="85">
        <f>BD53/Weights!$B$10*8/'Data and calc.'!$CI53</f>
        <v>0.15839439082556653</v>
      </c>
      <c r="CO53" s="85">
        <f>AV53/Weights!$B$11*8/'Data and calc.'!$CI53</f>
        <v>6.2274840709679452E-3</v>
      </c>
      <c r="CP53" s="85">
        <f>AW53/Weights!$B$13*8/'Data and calc.'!$CI53</f>
        <v>0.47835546163088805</v>
      </c>
      <c r="CQ53" s="85">
        <f>AX53/Weights!$B$14*8/'Data and calc.'!$CI53</f>
        <v>0.56550827829758321</v>
      </c>
      <c r="CR53" s="85">
        <f>AY53/Weights!$B$15*8/'Data and calc.'!$CI53*2</f>
        <v>0.22808375766983674</v>
      </c>
      <c r="CS53" s="85">
        <f>AZ53/Weights!$B$16*8/'Data and calc.'!$CI53*2</f>
        <v>1.5409370297681028E-2</v>
      </c>
      <c r="CT53" s="85">
        <f>BA53/Weights!$B$6*8/'Data and calc.'!$CI53*2</f>
        <v>0</v>
      </c>
      <c r="CU53" s="85">
        <f t="shared" si="192"/>
        <v>8.0000000000000036</v>
      </c>
      <c r="CV53" s="85">
        <f t="shared" si="193"/>
        <v>14.575327032888636</v>
      </c>
      <c r="CW53" s="85">
        <f t="shared" si="194"/>
        <v>0.3909820929291391</v>
      </c>
      <c r="CX53" s="113"/>
      <c r="CY53" s="90">
        <f t="shared" si="88"/>
        <v>7.535244583988919E-2</v>
      </c>
      <c r="CZ53" s="91">
        <f t="shared" si="195"/>
        <v>7.0072324781886941</v>
      </c>
      <c r="DA53" s="85">
        <f t="shared" si="135"/>
        <v>-0.35276752181130622</v>
      </c>
      <c r="DB53" s="85">
        <f t="shared" si="136"/>
        <v>0.35276752181130622</v>
      </c>
      <c r="DC53" s="85">
        <f t="shared" si="196"/>
        <v>0.12444492444489041</v>
      </c>
      <c r="DD53" s="117"/>
      <c r="DE53" s="97"/>
      <c r="DF53" s="91">
        <f t="shared" si="138"/>
        <v>6.979274894093102</v>
      </c>
      <c r="DG53" s="85">
        <f t="shared" si="139"/>
        <v>-0.38072510590689834</v>
      </c>
      <c r="DH53" s="85">
        <f t="shared" si="140"/>
        <v>0.38072510590689834</v>
      </c>
      <c r="DI53" s="85">
        <f t="shared" si="197"/>
        <v>0.14495160626781897</v>
      </c>
      <c r="DK53" s="117"/>
      <c r="DL53" s="99">
        <f>'Eq. 3 coef.'!$B$15+'Eq. 3 coef.'!$B$16*'Data and calc.'!G53^2+'Eq. 3 coef.'!$B$17*'Data and calc.'!G53+'Eq. 3 coef.'!$B$18*'Data and calc.'!BF53+'Eq. 3 coef.'!$B$19*'Data and calc.'!BG53+'Eq. 3 coef.'!$B$20*'Data and calc.'!BH53+'Eq. 3 coef.'!$B$21*'Data and calc.'!BI53+'Eq. 3 coef.'!$B$22*'Data and calc.'!BJ53+'Eq. 3 coef.'!$B$23*'Data and calc.'!BK53+'Eq. 3 coef.'!$B$24*'Data and calc.'!BL53+'Eq. 3 coef.'!$B$25*'Data and calc.'!BM53+'Eq. 3 coef.'!$B$26*'Data and calc.'!BN53+'Eq. 3 coef.'!$B$27*'Data and calc.'!BO53+'Eq. 3 coef.'!$B$28*'Data and calc.'!BP53</f>
        <v>7.1373086686085117</v>
      </c>
      <c r="DM53" s="85">
        <f t="shared" si="198"/>
        <v>-0.22269133139148867</v>
      </c>
      <c r="DN53" s="85">
        <f t="shared" si="143"/>
        <v>0.22269133139148867</v>
      </c>
      <c r="DO53" s="85">
        <f t="shared" si="33"/>
        <v>4.9591429076913829E-2</v>
      </c>
      <c r="DP53" s="117"/>
      <c r="DQ53" s="99">
        <f>'Eq. 4 coef.'!$B$15+'Eq. 4 coef.'!$B$16*'Data and calc.'!G53^2+'Eq. 4 coef.'!$B$17*'Data and calc.'!G53+'Eq. 4 coef.'!$B$18*'Data and calc.'!O53+'Eq. 4 coef.'!$B$19*'Data and calc.'!P53+'Eq. 4 coef.'!$B$20*'Data and calc.'!Q53+'Eq. 4 coef.'!$B$21*'Data and calc.'!R53+'Eq. 4 coef.'!$B$22*'Data and calc.'!S53+'Eq. 4 coef.'!$B$23*'Data and calc.'!T53+'Eq. 4 coef.'!$B$24*'Data and calc.'!U53+'Eq. 4 coef.'!$B$25*'Data and calc.'!V53+'Eq. 4 coef.'!$B$26*'Data and calc.'!W53+'Eq. 4 coef.'!$B$27*'Data and calc.'!X53</f>
        <v>7.1630750729962074</v>
      </c>
      <c r="DR53" s="85">
        <f t="shared" si="199"/>
        <v>-0.19692492700379294</v>
      </c>
      <c r="DS53" s="85">
        <f t="shared" si="145"/>
        <v>0.19692492700379294</v>
      </c>
      <c r="DT53" s="85">
        <f t="shared" si="200"/>
        <v>3.8779426875449177E-2</v>
      </c>
    </row>
    <row r="54" spans="1:125" ht="15" x14ac:dyDescent="0.2">
      <c r="A54" s="66" t="s">
        <v>636</v>
      </c>
      <c r="B54" s="73">
        <v>0.28000000000000003</v>
      </c>
      <c r="C54" s="73">
        <v>0.1</v>
      </c>
      <c r="D54" s="126">
        <f t="shared" si="111"/>
        <v>35.714285714285708</v>
      </c>
      <c r="E54" s="72">
        <f t="shared" si="112"/>
        <v>2.8078620136381873E-3</v>
      </c>
      <c r="F54" s="64">
        <f t="shared" si="113"/>
        <v>0.56256091674077691</v>
      </c>
      <c r="G54" s="73">
        <v>0.75004061006106659</v>
      </c>
      <c r="H54" s="73">
        <v>4.1883886150224731E-2</v>
      </c>
      <c r="I54" s="126">
        <f t="shared" si="106"/>
        <v>5.5842157862378459</v>
      </c>
      <c r="J54" s="70">
        <v>1250</v>
      </c>
      <c r="K54" s="70">
        <v>500</v>
      </c>
      <c r="L54" s="73">
        <v>5.586656545869993E-3</v>
      </c>
      <c r="M54" s="70">
        <v>2.6</v>
      </c>
      <c r="N54" s="64">
        <f t="shared" si="147"/>
        <v>-1.9056960543866555</v>
      </c>
      <c r="O54" s="76">
        <v>51.653996301623174</v>
      </c>
      <c r="P54" s="73">
        <v>0.95541401273885351</v>
      </c>
      <c r="Q54" s="73">
        <v>18.738442572426546</v>
      </c>
      <c r="R54" s="73">
        <v>6.811177316622147</v>
      </c>
      <c r="S54" s="73">
        <v>0.20546537908362442</v>
      </c>
      <c r="T54" s="73">
        <v>7.3248407643312099</v>
      </c>
      <c r="U54" s="73">
        <v>11.711526607766592</v>
      </c>
      <c r="V54" s="73">
        <v>2.3628518594616805</v>
      </c>
      <c r="W54" s="73">
        <v>0.23628518594616807</v>
      </c>
      <c r="X54" s="73">
        <v>0</v>
      </c>
      <c r="Y54" s="73">
        <f t="shared" si="148"/>
        <v>100</v>
      </c>
      <c r="Z54" s="73">
        <v>2.5991370454078484</v>
      </c>
      <c r="AA54" s="73">
        <v>0.10509358974666053</v>
      </c>
      <c r="AB54" s="59">
        <f t="shared" si="149"/>
        <v>0.65390048924300626</v>
      </c>
      <c r="AC54" s="60">
        <f t="shared" si="150"/>
        <v>6.2220777767635829</v>
      </c>
      <c r="AD54" s="57">
        <f t="shared" si="151"/>
        <v>100.06480094938443</v>
      </c>
      <c r="AE54" s="57"/>
      <c r="AF54" s="57">
        <f t="shared" si="152"/>
        <v>51.509365111978632</v>
      </c>
      <c r="AG54" s="57">
        <f t="shared" si="153"/>
        <v>0.95273885350318466</v>
      </c>
      <c r="AH54" s="57">
        <f t="shared" si="154"/>
        <v>18.685974933223751</v>
      </c>
      <c r="AI54" s="57">
        <f t="shared" si="155"/>
        <v>6.7921060201356047</v>
      </c>
      <c r="AJ54" s="57">
        <f t="shared" si="156"/>
        <v>0.20489007602219025</v>
      </c>
      <c r="AK54" s="57">
        <f t="shared" si="157"/>
        <v>7.3043312101910827</v>
      </c>
      <c r="AL54" s="57">
        <f t="shared" si="158"/>
        <v>11.678734333264845</v>
      </c>
      <c r="AM54" s="57">
        <f t="shared" si="159"/>
        <v>2.3562358742551881</v>
      </c>
      <c r="AN54" s="57">
        <f t="shared" si="160"/>
        <v>0.23562358742551878</v>
      </c>
      <c r="AO54" s="57">
        <f t="shared" si="161"/>
        <v>0</v>
      </c>
      <c r="AP54" s="57">
        <f t="shared" si="162"/>
        <v>99.72</v>
      </c>
      <c r="AQ54" s="57"/>
      <c r="AR54" s="84">
        <f t="shared" si="163"/>
        <v>51.476008169979274</v>
      </c>
      <c r="AS54" s="85">
        <f t="shared" si="164"/>
        <v>0.9521218694924567</v>
      </c>
      <c r="AT54" s="85">
        <f t="shared" si="165"/>
        <v>18.673874085529473</v>
      </c>
      <c r="AU54" s="85">
        <f t="shared" si="166"/>
        <v>6.7877075212204154</v>
      </c>
      <c r="AV54" s="85">
        <f t="shared" si="167"/>
        <v>0.20475739128870038</v>
      </c>
      <c r="AW54" s="85">
        <f t="shared" si="168"/>
        <v>7.2996009994421689</v>
      </c>
      <c r="AX54" s="85">
        <f t="shared" si="169"/>
        <v>11.671171303455921</v>
      </c>
      <c r="AY54" s="85">
        <f t="shared" si="170"/>
        <v>2.3547099998200545</v>
      </c>
      <c r="AZ54" s="85">
        <f t="shared" si="171"/>
        <v>0.23547099998200544</v>
      </c>
      <c r="BA54" s="85">
        <f t="shared" si="172"/>
        <v>0</v>
      </c>
      <c r="BB54" s="85">
        <f t="shared" si="173"/>
        <v>99.65542234021045</v>
      </c>
      <c r="BC54" s="85">
        <f t="shared" si="174"/>
        <v>0.65164729423982037</v>
      </c>
      <c r="BD54" s="85">
        <f t="shared" si="175"/>
        <v>6.2006378867701262</v>
      </c>
      <c r="BE54" s="85">
        <f t="shared" si="176"/>
        <v>99.999999999999986</v>
      </c>
      <c r="BF54" s="84">
        <f t="shared" si="177"/>
        <v>51.620545697933494</v>
      </c>
      <c r="BG54" s="85">
        <f t="shared" si="178"/>
        <v>0.95479529632215887</v>
      </c>
      <c r="BH54" s="85">
        <f t="shared" si="179"/>
        <v>18.726307747221696</v>
      </c>
      <c r="BI54" s="85">
        <f t="shared" si="180"/>
        <v>0.65347702992360646</v>
      </c>
      <c r="BJ54" s="85">
        <f t="shared" si="181"/>
        <v>6.2180484223527142</v>
      </c>
      <c r="BK54" s="85">
        <f t="shared" si="182"/>
        <v>0.20533232178971159</v>
      </c>
      <c r="BL54" s="85">
        <f t="shared" si="183"/>
        <v>7.3200972718032178</v>
      </c>
      <c r="BM54" s="85">
        <f t="shared" si="184"/>
        <v>11.70394234201356</v>
      </c>
      <c r="BN54" s="85">
        <f t="shared" si="185"/>
        <v>2.3613217005816831</v>
      </c>
      <c r="BO54" s="85">
        <f t="shared" si="186"/>
        <v>0.23613217005816831</v>
      </c>
      <c r="BP54" s="85">
        <f t="shared" si="187"/>
        <v>0</v>
      </c>
      <c r="BQ54" s="85">
        <f t="shared" si="188"/>
        <v>100.00000000000001</v>
      </c>
      <c r="BR54" s="85"/>
      <c r="BS54" s="82">
        <f>AR54/Weights!$B$5*2+AS54/Weights!$B$7*2+AT54/Weights!$B$8*3+'Data and calc.'!BC54/Weights!$B$20*3+'Data and calc.'!BD54/Weights!$B$10+'Data and calc.'!AV54/Weights!$B$11+'Data and calc.'!AW54/Weights!$B$13+'Data and calc.'!AX54/Weights!$B$14+'Data and calc.'!AY54/Weights!$B$15+AZ54/Weights!$B$16+B54/Weights!$B$19+'Data and calc.'!BA54/Weights!$B$6*5</f>
        <v>2.8334982175550438</v>
      </c>
      <c r="BT54" s="84">
        <f>AR54/Weights!$B$5*8/'Data and calc.'!$BS54</f>
        <v>2.4189132591185429</v>
      </c>
      <c r="BU54" s="85">
        <f>AS54/Weights!$B$7*8/'Data and calc.'!$BS54</f>
        <v>3.3659145615028779E-2</v>
      </c>
      <c r="BV54" s="85">
        <f>AT54/Weights!$B$8*8/'Data and calc.'!$BS54*2</f>
        <v>1.0341923244627107</v>
      </c>
      <c r="BW54" s="85">
        <f>BC54/Weights!$B$20*8/'Data and calc.'!$BS54*2</f>
        <v>2.3043055891131588E-2</v>
      </c>
      <c r="BX54" s="85">
        <f>BD54/Weights!$B$10*8/'Data and calc.'!$BS54</f>
        <v>0.24367608505381608</v>
      </c>
      <c r="BY54" s="85">
        <f>AV54/Weights!$B$11*8/'Data and calc.'!$BS54</f>
        <v>8.1495484093690538E-3</v>
      </c>
      <c r="BZ54" s="85">
        <f>AW54/Weights!$B$13*8/'Data and calc.'!$BS54</f>
        <v>0.51134971123228701</v>
      </c>
      <c r="CA54" s="85">
        <f>AX54/Weights!$B$14*8/'Data and calc.'!$BS54</f>
        <v>0.58762019764691276</v>
      </c>
      <c r="CB54" s="85">
        <f>AY54/Weights!$B$15*8/'Data and calc.'!$BS54*2</f>
        <v>0.21453252066157594</v>
      </c>
      <c r="CC54" s="85">
        <f>AZ54/Weights!$B$16*8/'Data and calc.'!$BS54*2</f>
        <v>1.4115746493676437E-2</v>
      </c>
      <c r="CD54" s="85">
        <f>BA54/Weights!$B$6*8/'Data and calc.'!$BS54*2</f>
        <v>0</v>
      </c>
      <c r="CE54" s="85">
        <f>B54/Weights!$B$19*8/'Data and calc.'!$BS54*2</f>
        <v>8.7764888164163363E-2</v>
      </c>
      <c r="CF54" s="85">
        <f t="shared" si="189"/>
        <v>14.039231140349655</v>
      </c>
      <c r="CG54" s="85">
        <f t="shared" si="190"/>
        <v>0.55865419980584818</v>
      </c>
      <c r="CH54" s="85">
        <f t="shared" si="191"/>
        <v>1.7245146272105109E-2</v>
      </c>
      <c r="CI54" s="85">
        <f>AR54/Weights!$B$5*2+AS54/Weights!$B$7*2+AT54/Weights!$B$8*3+'Data and calc.'!BC54/Weights!$B$20*3+'Data and calc.'!BD54/Weights!$B$10+'Data and calc.'!AV54/Weights!$B$11+'Data and calc.'!AW54/Weights!$B$13+'Data and calc.'!AX54/Weights!$B$14+'Data and calc.'!AY54/Weights!$B$15+AZ54/Weights!$B$16+'Data and calc.'!BA54/Weights!$B$6*5</f>
        <v>2.8179556141689766</v>
      </c>
      <c r="CJ54" s="84">
        <f>AR54/Weights!$B$5*8/'Data and calc.'!$CI54</f>
        <v>2.4322549204359678</v>
      </c>
      <c r="CK54" s="85">
        <f>AS54/Weights!$B$7*8/'Data and calc.'!$CI54</f>
        <v>3.3844794653635997E-2</v>
      </c>
      <c r="CL54" s="85">
        <f>AT54/Weights!$B$8*8/'Data and calc.'!$CI54*2</f>
        <v>1.0398964743234171</v>
      </c>
      <c r="CM54" s="85">
        <f>BC54/Weights!$B$20*8/'Data and calc.'!$CI54*2</f>
        <v>2.317015124945378E-2</v>
      </c>
      <c r="CN54" s="85">
        <f>BD54/Weights!$B$10*8/'Data and calc.'!$CI54</f>
        <v>0.24502009513176684</v>
      </c>
      <c r="CO54" s="85">
        <f>AV54/Weights!$B$11*8/'Data and calc.'!$CI54</f>
        <v>8.1944977329373499E-3</v>
      </c>
      <c r="CP54" s="85">
        <f>AW54/Weights!$B$13*8/'Data and calc.'!$CI54</f>
        <v>0.51417009126712554</v>
      </c>
      <c r="CQ54" s="85">
        <f>AX54/Weights!$B$14*8/'Data and calc.'!$CI54</f>
        <v>0.5908612521290153</v>
      </c>
      <c r="CR54" s="85">
        <f>AY54/Weights!$B$15*8/'Data and calc.'!$CI54*2</f>
        <v>0.21571578766027899</v>
      </c>
      <c r="CS54" s="85">
        <f>AZ54/Weights!$B$16*8/'Data and calc.'!$CI54*2</f>
        <v>1.41936027410021E-2</v>
      </c>
      <c r="CT54" s="85">
        <f>BA54/Weights!$B$6*8/'Data and calc.'!$CI54*2</f>
        <v>0</v>
      </c>
      <c r="CU54" s="85">
        <f t="shared" si="192"/>
        <v>8</v>
      </c>
      <c r="CV54" s="85">
        <f t="shared" si="193"/>
        <v>14.116665362649899</v>
      </c>
      <c r="CW54" s="85">
        <f t="shared" si="194"/>
        <v>0.5336485888042819</v>
      </c>
      <c r="CX54" s="113"/>
      <c r="CY54" s="90">
        <f t="shared" si="88"/>
        <v>2.7878496526257831E-3</v>
      </c>
      <c r="CZ54" s="91">
        <f t="shared" si="195"/>
        <v>0.27800991541645803</v>
      </c>
      <c r="DA54" s="85">
        <f t="shared" si="135"/>
        <v>-1.9900845835419956E-3</v>
      </c>
      <c r="DB54" s="85">
        <f t="shared" si="136"/>
        <v>1.9900845835419956E-3</v>
      </c>
      <c r="DC54" s="85">
        <f t="shared" si="196"/>
        <v>3.9604366496515179E-6</v>
      </c>
      <c r="DD54" s="117"/>
      <c r="DE54" s="97"/>
      <c r="DF54" s="91">
        <f t="shared" si="138"/>
        <v>0.26296468441864645</v>
      </c>
      <c r="DG54" s="85">
        <f t="shared" si="139"/>
        <v>-1.7035315581353572E-2</v>
      </c>
      <c r="DH54" s="85">
        <f t="shared" si="140"/>
        <v>1.7035315581353572E-2</v>
      </c>
      <c r="DI54" s="85">
        <f t="shared" si="197"/>
        <v>2.9020197695630776E-4</v>
      </c>
      <c r="DK54" s="117"/>
      <c r="DL54" s="99">
        <f>'Eq. 3 coef.'!$B$15+'Eq. 3 coef.'!$B$16*'Data and calc.'!G54^2+'Eq. 3 coef.'!$B$17*'Data and calc.'!G54+'Eq. 3 coef.'!$B$18*'Data and calc.'!BF54+'Eq. 3 coef.'!$B$19*'Data and calc.'!BG54+'Eq. 3 coef.'!$B$20*'Data and calc.'!BH54+'Eq. 3 coef.'!$B$21*'Data and calc.'!BI54+'Eq. 3 coef.'!$B$22*'Data and calc.'!BJ54+'Eq. 3 coef.'!$B$23*'Data and calc.'!BK54+'Eq. 3 coef.'!$B$24*'Data and calc.'!BL54+'Eq. 3 coef.'!$B$25*'Data and calc.'!BM54+'Eq. 3 coef.'!$B$26*'Data and calc.'!BN54+'Eq. 3 coef.'!$B$27*'Data and calc.'!BO54+'Eq. 3 coef.'!$B$28*'Data and calc.'!BP54</f>
        <v>0.25787785676675412</v>
      </c>
      <c r="DM54" s="85">
        <f t="shared" si="198"/>
        <v>-2.2122143233245906E-2</v>
      </c>
      <c r="DN54" s="85">
        <f t="shared" si="143"/>
        <v>2.2122143233245906E-2</v>
      </c>
      <c r="DO54" s="85">
        <f t="shared" si="33"/>
        <v>4.893892212322476E-4</v>
      </c>
      <c r="DP54" s="117"/>
      <c r="DQ54" s="99">
        <f>'Eq. 4 coef.'!$B$15+'Eq. 4 coef.'!$B$16*'Data and calc.'!G54^2+'Eq. 4 coef.'!$B$17*'Data and calc.'!G54+'Eq. 4 coef.'!$B$18*'Data and calc.'!O54+'Eq. 4 coef.'!$B$19*'Data and calc.'!P54+'Eq. 4 coef.'!$B$20*'Data and calc.'!Q54+'Eq. 4 coef.'!$B$21*'Data and calc.'!R54+'Eq. 4 coef.'!$B$22*'Data and calc.'!S54+'Eq. 4 coef.'!$B$23*'Data and calc.'!T54+'Eq. 4 coef.'!$B$24*'Data and calc.'!U54+'Eq. 4 coef.'!$B$25*'Data and calc.'!V54+'Eq. 4 coef.'!$B$26*'Data and calc.'!W54+'Eq. 4 coef.'!$B$27*'Data and calc.'!X54</f>
        <v>0.32306829198387277</v>
      </c>
      <c r="DR54" s="85">
        <f t="shared" si="199"/>
        <v>4.3068291983872742E-2</v>
      </c>
      <c r="DS54" s="85">
        <f t="shared" si="145"/>
        <v>4.3068291983872742E-2</v>
      </c>
      <c r="DT54" s="85">
        <f t="shared" si="200"/>
        <v>1.8548777744081171E-3</v>
      </c>
    </row>
    <row r="55" spans="1:125" s="51" customFormat="1" ht="15" x14ac:dyDescent="0.2">
      <c r="A55" s="66" t="s">
        <v>637</v>
      </c>
      <c r="B55" s="73">
        <v>2.2400000000000002</v>
      </c>
      <c r="C55" s="73">
        <v>0.11</v>
      </c>
      <c r="D55" s="126">
        <f t="shared" si="111"/>
        <v>4.9107142857142856</v>
      </c>
      <c r="E55" s="72">
        <f t="shared" si="112"/>
        <v>2.291325695581015E-2</v>
      </c>
      <c r="F55" s="64">
        <f t="shared" si="113"/>
        <v>8.0396199918635833</v>
      </c>
      <c r="G55" s="73">
        <v>2.8354223656915001</v>
      </c>
      <c r="H55" s="73">
        <v>4.8848425245343663E-2</v>
      </c>
      <c r="I55" s="126">
        <f t="shared" si="106"/>
        <v>1.7227918435153682</v>
      </c>
      <c r="J55" s="70">
        <v>1250</v>
      </c>
      <c r="K55" s="70">
        <v>50</v>
      </c>
      <c r="L55" s="73">
        <v>0.86628269249763634</v>
      </c>
      <c r="M55" s="70">
        <v>2.6</v>
      </c>
      <c r="N55" s="64">
        <f t="shared" si="147"/>
        <v>2.4753192753918962</v>
      </c>
      <c r="O55" s="76">
        <v>50.178872053872055</v>
      </c>
      <c r="P55" s="73">
        <v>0.93644781144781153</v>
      </c>
      <c r="Q55" s="73">
        <v>18.297558922558924</v>
      </c>
      <c r="R55" s="73">
        <v>9.3855218855218858</v>
      </c>
      <c r="S55" s="73">
        <v>0.22095959595959594</v>
      </c>
      <c r="T55" s="73">
        <v>7.0496632996633002</v>
      </c>
      <c r="U55" s="73">
        <v>11.27946127946128</v>
      </c>
      <c r="V55" s="73">
        <v>2.3884680134680139</v>
      </c>
      <c r="W55" s="73">
        <v>0.26304713804713808</v>
      </c>
      <c r="X55" s="73">
        <v>0</v>
      </c>
      <c r="Y55" s="73">
        <f t="shared" si="148"/>
        <v>100</v>
      </c>
      <c r="Z55" s="73">
        <v>2.6515151515151518</v>
      </c>
      <c r="AA55" s="73">
        <v>1.335415174301807</v>
      </c>
      <c r="AB55" s="59">
        <f t="shared" si="149"/>
        <v>5.6891201988035345</v>
      </c>
      <c r="AC55" s="60">
        <f t="shared" si="150"/>
        <v>4.2601883730862697</v>
      </c>
      <c r="AD55" s="57">
        <f t="shared" si="151"/>
        <v>100.56378668636792</v>
      </c>
      <c r="AE55" s="57"/>
      <c r="AF55" s="57">
        <f t="shared" si="152"/>
        <v>49.054865319865321</v>
      </c>
      <c r="AG55" s="57">
        <f t="shared" si="153"/>
        <v>0.91547138047138066</v>
      </c>
      <c r="AH55" s="57">
        <f t="shared" si="154"/>
        <v>17.887693602693606</v>
      </c>
      <c r="AI55" s="57">
        <f t="shared" si="155"/>
        <v>9.1752861952861959</v>
      </c>
      <c r="AJ55" s="57">
        <f t="shared" si="156"/>
        <v>0.21601010101010101</v>
      </c>
      <c r="AK55" s="57">
        <f t="shared" si="157"/>
        <v>6.8917508417508433</v>
      </c>
      <c r="AL55" s="57">
        <f t="shared" si="158"/>
        <v>11.026801346801349</v>
      </c>
      <c r="AM55" s="57">
        <f t="shared" si="159"/>
        <v>2.3349663299663304</v>
      </c>
      <c r="AN55" s="57">
        <f t="shared" si="160"/>
        <v>0.25715488215488219</v>
      </c>
      <c r="AO55" s="57">
        <f t="shared" si="161"/>
        <v>0</v>
      </c>
      <c r="AP55" s="57">
        <f t="shared" si="162"/>
        <v>97.76</v>
      </c>
      <c r="AQ55" s="57"/>
      <c r="AR55" s="84">
        <f t="shared" si="163"/>
        <v>48.779851014217058</v>
      </c>
      <c r="AS55" s="85">
        <f t="shared" si="164"/>
        <v>0.91033901033032483</v>
      </c>
      <c r="AT55" s="85">
        <f t="shared" si="165"/>
        <v>17.787410550162189</v>
      </c>
      <c r="AU55" s="85">
        <f t="shared" si="166"/>
        <v>9.1238471597151651</v>
      </c>
      <c r="AV55" s="85">
        <f t="shared" si="167"/>
        <v>0.21479909232513278</v>
      </c>
      <c r="AW55" s="85">
        <f t="shared" si="168"/>
        <v>6.8531138979923325</v>
      </c>
      <c r="AX55" s="85">
        <f t="shared" si="169"/>
        <v>10.964982236787732</v>
      </c>
      <c r="AY55" s="85">
        <f t="shared" si="170"/>
        <v>2.3218759027526263</v>
      </c>
      <c r="AZ55" s="85">
        <f t="shared" si="171"/>
        <v>0.25571320514896767</v>
      </c>
      <c r="BA55" s="85">
        <f t="shared" si="172"/>
        <v>0</v>
      </c>
      <c r="BB55" s="85">
        <f t="shared" si="173"/>
        <v>97.211932069431526</v>
      </c>
      <c r="BC55" s="85">
        <f t="shared" si="174"/>
        <v>5.5305036630091999</v>
      </c>
      <c r="BD55" s="85">
        <f t="shared" si="175"/>
        <v>4.1414114272744449</v>
      </c>
      <c r="BE55" s="85">
        <f t="shared" si="176"/>
        <v>100</v>
      </c>
      <c r="BF55" s="84">
        <f t="shared" si="177"/>
        <v>49.897556274771944</v>
      </c>
      <c r="BG55" s="85">
        <f t="shared" si="178"/>
        <v>0.93119784199092137</v>
      </c>
      <c r="BH55" s="85">
        <f t="shared" si="179"/>
        <v>18.194978058676543</v>
      </c>
      <c r="BI55" s="85">
        <f t="shared" si="180"/>
        <v>5.6572255145347787</v>
      </c>
      <c r="BJ55" s="85">
        <f t="shared" si="181"/>
        <v>4.2363046514673126</v>
      </c>
      <c r="BK55" s="85">
        <f t="shared" si="182"/>
        <v>0.21972083912145332</v>
      </c>
      <c r="BL55" s="85">
        <f t="shared" si="183"/>
        <v>7.0101410576844634</v>
      </c>
      <c r="BM55" s="85">
        <f t="shared" si="184"/>
        <v>11.216225692295144</v>
      </c>
      <c r="BN55" s="85">
        <f t="shared" si="185"/>
        <v>2.3750776419319006</v>
      </c>
      <c r="BO55" s="85">
        <f t="shared" si="186"/>
        <v>0.26157242752553977</v>
      </c>
      <c r="BP55" s="85">
        <f t="shared" si="187"/>
        <v>0</v>
      </c>
      <c r="BQ55" s="85">
        <f t="shared" si="188"/>
        <v>99.999999999999972</v>
      </c>
      <c r="BR55" s="85"/>
      <c r="BS55" s="82">
        <f>AR55/Weights!$B$5*2+AS55/Weights!$B$7*2+AT55/Weights!$B$8*3+'Data and calc.'!BC55/Weights!$B$20*3+'Data and calc.'!BD55/Weights!$B$10+'Data and calc.'!AV55/Weights!$B$11+'Data and calc.'!AW55/Weights!$B$13+'Data and calc.'!AX55/Weights!$B$14+'Data and calc.'!AY55/Weights!$B$15+AZ55/Weights!$B$16+B55/Weights!$B$19+'Data and calc.'!BA55/Weights!$B$6*5</f>
        <v>2.8645705768581489</v>
      </c>
      <c r="BT55" s="84">
        <f>AR55/Weights!$B$5*8/'Data and calc.'!$BS55</f>
        <v>2.2673539427077332</v>
      </c>
      <c r="BU55" s="85">
        <f>AS55/Weights!$B$7*8/'Data and calc.'!$BS55</f>
        <v>3.1832966919772311E-2</v>
      </c>
      <c r="BV55" s="85">
        <f>AT55/Weights!$B$8*8/'Data and calc.'!$BS55*2</f>
        <v>0.97441291199764624</v>
      </c>
      <c r="BW55" s="85">
        <f>BC55/Weights!$B$20*8/'Data and calc.'!$BS55*2</f>
        <v>0.19344413999827678</v>
      </c>
      <c r="BX55" s="85">
        <f>BD55/Weights!$B$10*8/'Data and calc.'!$BS55</f>
        <v>0.16098608297667807</v>
      </c>
      <c r="BY55" s="85">
        <f>AV55/Weights!$B$11*8/'Data and calc.'!$BS55</f>
        <v>8.4564836765919429E-3</v>
      </c>
      <c r="BZ55" s="85">
        <f>AW55/Weights!$B$13*8/'Data and calc.'!$BS55</f>
        <v>0.47486510805571541</v>
      </c>
      <c r="CA55" s="85">
        <f>AX55/Weights!$B$14*8/'Data and calc.'!$BS55</f>
        <v>0.54607666786960929</v>
      </c>
      <c r="CB55" s="85">
        <f>AY55/Weights!$B$15*8/'Data and calc.'!$BS55*2</f>
        <v>0.20924646447861736</v>
      </c>
      <c r="CC55" s="85">
        <f>AZ55/Weights!$B$16*8/'Data and calc.'!$BS55*2</f>
        <v>1.5162925278980898E-2</v>
      </c>
      <c r="CD55" s="85">
        <f>BA55/Weights!$B$6*8/'Data and calc.'!$BS55*2</f>
        <v>0</v>
      </c>
      <c r="CE55" s="85">
        <f>B55/Weights!$B$19*8/'Data and calc.'!$BS55*2</f>
        <v>0.69450313058742041</v>
      </c>
      <c r="CF55" s="85">
        <f t="shared" si="189"/>
        <v>13.868175846493715</v>
      </c>
      <c r="CG55" s="85">
        <f t="shared" si="190"/>
        <v>0.61488235427740789</v>
      </c>
      <c r="CH55" s="85">
        <f t="shared" si="191"/>
        <v>0.14226264249766857</v>
      </c>
      <c r="CI55" s="85">
        <f>AR55/Weights!$B$5*2+AS55/Weights!$B$7*2+AT55/Weights!$B$8*3+'Data and calc.'!BC55/Weights!$B$20*3+'Data and calc.'!BD55/Weights!$B$10+'Data and calc.'!AV55/Weights!$B$11+'Data and calc.'!AW55/Weights!$B$13+'Data and calc.'!AX55/Weights!$B$14+'Data and calc.'!AY55/Weights!$B$15+AZ55/Weights!$B$16+'Data and calc.'!BA55/Weights!$B$6*5</f>
        <v>2.7402297497696115</v>
      </c>
      <c r="CJ55" s="84">
        <f>AR55/Weights!$B$5*8/'Data and calc.'!$CI55</f>
        <v>2.3702375292254105</v>
      </c>
      <c r="CK55" s="85">
        <f>AS55/Weights!$B$7*8/'Data and calc.'!$CI55</f>
        <v>3.3277421508231299E-2</v>
      </c>
      <c r="CL55" s="85">
        <f>AT55/Weights!$B$8*8/'Data and calc.'!$CI55*2</f>
        <v>1.0186279298857353</v>
      </c>
      <c r="CM55" s="85">
        <f>BC55/Weights!$B$20*8/'Data and calc.'!$CI55*2</f>
        <v>0.20222187272847536</v>
      </c>
      <c r="CN55" s="85">
        <f>BD55/Weights!$B$10*8/'Data and calc.'!$CI55</f>
        <v>0.16829099699301084</v>
      </c>
      <c r="CO55" s="85">
        <f>AV55/Weights!$B$11*8/'Data and calc.'!$CI55</f>
        <v>8.8402055797267304E-3</v>
      </c>
      <c r="CP55" s="85">
        <f>AW55/Weights!$B$13*8/'Data and calc.'!$CI55</f>
        <v>0.49641261526605046</v>
      </c>
      <c r="CQ55" s="85">
        <f>AX55/Weights!$B$14*8/'Data and calc.'!$CI55</f>
        <v>0.57085547502706335</v>
      </c>
      <c r="CR55" s="85">
        <f>AY55/Weights!$B$15*8/'Data and calc.'!$CI55*2</f>
        <v>0.21874124441844212</v>
      </c>
      <c r="CS55" s="85">
        <f>AZ55/Weights!$B$16*8/'Data and calc.'!$CI55*2</f>
        <v>1.5850959072654106E-2</v>
      </c>
      <c r="CT55" s="85">
        <f>BA55/Weights!$B$6*8/'Data and calc.'!$CI55*2</f>
        <v>0</v>
      </c>
      <c r="CU55" s="85">
        <f t="shared" si="192"/>
        <v>8</v>
      </c>
      <c r="CV55" s="85">
        <f t="shared" si="193"/>
        <v>14.497459013391412</v>
      </c>
      <c r="CW55" s="85">
        <f t="shared" si="194"/>
        <v>0.41456671413126395</v>
      </c>
      <c r="CX55" s="113"/>
      <c r="CY55" s="90">
        <f t="shared" si="88"/>
        <v>2.0742986568603815E-2</v>
      </c>
      <c r="CZ55" s="91">
        <f t="shared" si="195"/>
        <v>2.0321458821220797</v>
      </c>
      <c r="DA55" s="85">
        <f t="shared" si="135"/>
        <v>-0.20785411787792052</v>
      </c>
      <c r="DB55" s="85">
        <f t="shared" si="136"/>
        <v>0.20785411787792052</v>
      </c>
      <c r="DC55" s="85">
        <f t="shared" si="196"/>
        <v>4.3203334318808476E-2</v>
      </c>
      <c r="DD55" s="117"/>
      <c r="DE55" s="97"/>
      <c r="DF55" s="91">
        <f t="shared" si="138"/>
        <v>2.0387072131325774</v>
      </c>
      <c r="DG55" s="85">
        <f t="shared" si="139"/>
        <v>-0.2012927868674228</v>
      </c>
      <c r="DH55" s="85">
        <f t="shared" si="140"/>
        <v>0.2012927868674228</v>
      </c>
      <c r="DI55" s="85">
        <f t="shared" si="197"/>
        <v>4.0518786044853698E-2</v>
      </c>
      <c r="DJ55" s="79"/>
      <c r="DK55" s="117"/>
      <c r="DL55" s="99">
        <f>'Eq. 3 coef.'!$B$15+'Eq. 3 coef.'!$B$16*'Data and calc.'!G55^2+'Eq. 3 coef.'!$B$17*'Data and calc.'!G55+'Eq. 3 coef.'!$B$18*'Data and calc.'!BF55+'Eq. 3 coef.'!$B$19*'Data and calc.'!BG55+'Eq. 3 coef.'!$B$20*'Data and calc.'!BH55+'Eq. 3 coef.'!$B$21*'Data and calc.'!BI55+'Eq. 3 coef.'!$B$22*'Data and calc.'!BJ55+'Eq. 3 coef.'!$B$23*'Data and calc.'!BK55+'Eq. 3 coef.'!$B$24*'Data and calc.'!BL55+'Eq. 3 coef.'!$B$25*'Data and calc.'!BM55+'Eq. 3 coef.'!$B$26*'Data and calc.'!BN55+'Eq. 3 coef.'!$B$27*'Data and calc.'!BO55+'Eq. 3 coef.'!$B$28*'Data and calc.'!BP55</f>
        <v>2.2775638287075708</v>
      </c>
      <c r="DM55" s="85">
        <f t="shared" si="198"/>
        <v>3.7563828707570579E-2</v>
      </c>
      <c r="DN55" s="85">
        <f t="shared" si="143"/>
        <v>3.7563828707570579E-2</v>
      </c>
      <c r="DO55" s="85">
        <f t="shared" si="33"/>
        <v>1.4110412271717036E-3</v>
      </c>
      <c r="DP55" s="117"/>
      <c r="DQ55" s="99">
        <f>'Eq. 4 coef.'!$B$15+'Eq. 4 coef.'!$B$16*'Data and calc.'!G55^2+'Eq. 4 coef.'!$B$17*'Data and calc.'!G55+'Eq. 4 coef.'!$B$18*'Data and calc.'!O55+'Eq. 4 coef.'!$B$19*'Data and calc.'!P55+'Eq. 4 coef.'!$B$20*'Data and calc.'!Q55+'Eq. 4 coef.'!$B$21*'Data and calc.'!R55+'Eq. 4 coef.'!$B$22*'Data and calc.'!S55+'Eq. 4 coef.'!$B$23*'Data and calc.'!T55+'Eq. 4 coef.'!$B$24*'Data and calc.'!U55+'Eq. 4 coef.'!$B$25*'Data and calc.'!V55+'Eq. 4 coef.'!$B$26*'Data and calc.'!W55+'Eq. 4 coef.'!$B$27*'Data and calc.'!X55</f>
        <v>2.3210199228199144</v>
      </c>
      <c r="DR55" s="85">
        <f t="shared" si="199"/>
        <v>8.1019922819914214E-2</v>
      </c>
      <c r="DS55" s="85">
        <f t="shared" si="145"/>
        <v>8.1019922819914214E-2</v>
      </c>
      <c r="DT55" s="85">
        <f t="shared" si="200"/>
        <v>6.5642278937448556E-3</v>
      </c>
      <c r="DU55" s="53"/>
    </row>
    <row r="56" spans="1:125" ht="15" x14ac:dyDescent="0.2">
      <c r="A56" s="66" t="s">
        <v>580</v>
      </c>
      <c r="B56" s="73">
        <v>0.44</v>
      </c>
      <c r="C56" s="73">
        <v>2.2000000000000002E-2</v>
      </c>
      <c r="D56" s="126">
        <f t="shared" si="111"/>
        <v>5</v>
      </c>
      <c r="E56" s="72">
        <f t="shared" si="112"/>
        <v>4.4194455604660505E-3</v>
      </c>
      <c r="F56" s="64">
        <f t="shared" si="113"/>
        <v>0.90312594087934961</v>
      </c>
      <c r="G56" s="73">
        <v>0.95032938546556034</v>
      </c>
      <c r="H56" s="73">
        <v>6.5395666127516169E-2</v>
      </c>
      <c r="I56" s="126">
        <f t="shared" si="106"/>
        <v>6.8813684105410724</v>
      </c>
      <c r="J56" s="70">
        <v>1220</v>
      </c>
      <c r="K56" s="70">
        <v>203</v>
      </c>
      <c r="L56" s="73">
        <v>2.3510417681227726E-2</v>
      </c>
      <c r="M56" s="70">
        <v>2.6</v>
      </c>
      <c r="N56" s="64">
        <f t="shared" si="147"/>
        <v>-0.65747931044080099</v>
      </c>
      <c r="O56" s="76">
        <v>49.891433083300427</v>
      </c>
      <c r="P56" s="73">
        <v>1.0165811290959335</v>
      </c>
      <c r="Q56" s="73">
        <v>15.594157125937624</v>
      </c>
      <c r="R56" s="73">
        <v>9.4551914725621788</v>
      </c>
      <c r="S56" s="73">
        <v>0.16778523489932889</v>
      </c>
      <c r="T56" s="73">
        <v>9.5144097907619418</v>
      </c>
      <c r="U56" s="73">
        <v>12.041058033951835</v>
      </c>
      <c r="V56" s="73">
        <v>2.1910777733912359</v>
      </c>
      <c r="W56" s="73">
        <v>5.9218318199763122E-2</v>
      </c>
      <c r="X56" s="73">
        <v>6.9088037899723648E-2</v>
      </c>
      <c r="Y56" s="73">
        <f t="shared" si="148"/>
        <v>99.999999999999986</v>
      </c>
      <c r="Z56" s="73">
        <v>2.2502960915909989</v>
      </c>
      <c r="AA56" s="73">
        <v>0.2468406952904971</v>
      </c>
      <c r="AB56" s="59">
        <f t="shared" si="149"/>
        <v>1.9093309260808207</v>
      </c>
      <c r="AC56" s="60">
        <f t="shared" si="150"/>
        <v>7.7350735211380162</v>
      </c>
      <c r="AD56" s="57">
        <f t="shared" si="151"/>
        <v>100.18921297465667</v>
      </c>
      <c r="AE56" s="57"/>
      <c r="AF56" s="57">
        <f t="shared" si="152"/>
        <v>49.671910777733913</v>
      </c>
      <c r="AG56" s="57">
        <f t="shared" si="153"/>
        <v>1.0121081721279115</v>
      </c>
      <c r="AH56" s="57">
        <f t="shared" si="154"/>
        <v>15.525542834583497</v>
      </c>
      <c r="AI56" s="57">
        <f t="shared" si="155"/>
        <v>9.4135886300829057</v>
      </c>
      <c r="AJ56" s="57">
        <f t="shared" si="156"/>
        <v>0.16704697986577183</v>
      </c>
      <c r="AK56" s="57">
        <f t="shared" si="157"/>
        <v>9.4725463876825895</v>
      </c>
      <c r="AL56" s="57">
        <f t="shared" si="158"/>
        <v>11.988077378602448</v>
      </c>
      <c r="AM56" s="57">
        <f t="shared" si="159"/>
        <v>2.1814370311883144</v>
      </c>
      <c r="AN56" s="57">
        <f t="shared" si="160"/>
        <v>5.8957757599684163E-2</v>
      </c>
      <c r="AO56" s="57">
        <f t="shared" si="161"/>
        <v>6.8784050532964866E-2</v>
      </c>
      <c r="AP56" s="57">
        <f t="shared" si="162"/>
        <v>99.56</v>
      </c>
      <c r="AQ56" s="57"/>
      <c r="AR56" s="84">
        <f t="shared" si="163"/>
        <v>49.578102575073281</v>
      </c>
      <c r="AS56" s="85">
        <f t="shared" si="164"/>
        <v>1.0101967488096038</v>
      </c>
      <c r="AT56" s="85">
        <f t="shared" si="165"/>
        <v>15.496221972030819</v>
      </c>
      <c r="AU56" s="85">
        <f t="shared" si="166"/>
        <v>9.3958105374718492</v>
      </c>
      <c r="AV56" s="85">
        <f t="shared" si="167"/>
        <v>0.16673150223071137</v>
      </c>
      <c r="AW56" s="85">
        <f t="shared" si="168"/>
        <v>9.4546569500238657</v>
      </c>
      <c r="AX56" s="85">
        <f t="shared" si="169"/>
        <v>11.965437218909871</v>
      </c>
      <c r="AY56" s="85">
        <f t="shared" si="170"/>
        <v>2.1773172644245835</v>
      </c>
      <c r="AZ56" s="85">
        <f t="shared" si="171"/>
        <v>5.884641255201576E-2</v>
      </c>
      <c r="BA56" s="85">
        <f t="shared" si="172"/>
        <v>6.8654147977351726E-2</v>
      </c>
      <c r="BB56" s="85">
        <f t="shared" si="173"/>
        <v>99.371975329503954</v>
      </c>
      <c r="BC56" s="85">
        <f t="shared" si="174"/>
        <v>1.8973398568236226</v>
      </c>
      <c r="BD56" s="85">
        <f t="shared" si="175"/>
        <v>7.6864953511442629</v>
      </c>
      <c r="BE56" s="85">
        <f t="shared" si="176"/>
        <v>99.999999999999986</v>
      </c>
      <c r="BF56" s="84">
        <f t="shared" si="177"/>
        <v>49.797210300395015</v>
      </c>
      <c r="BG56" s="85">
        <f t="shared" si="178"/>
        <v>1.0146612583463277</v>
      </c>
      <c r="BH56" s="85">
        <f t="shared" si="179"/>
        <v>15.564706681429106</v>
      </c>
      <c r="BI56" s="85">
        <f t="shared" si="180"/>
        <v>1.9057250470305569</v>
      </c>
      <c r="BJ56" s="85">
        <f t="shared" si="181"/>
        <v>7.7204653988994201</v>
      </c>
      <c r="BK56" s="85">
        <f t="shared" si="182"/>
        <v>0.16746836302803472</v>
      </c>
      <c r="BL56" s="85">
        <f t="shared" si="183"/>
        <v>9.4964412917073791</v>
      </c>
      <c r="BM56" s="85">
        <f t="shared" si="184"/>
        <v>12.018317817306018</v>
      </c>
      <c r="BN56" s="85">
        <f t="shared" si="185"/>
        <v>2.186939799542571</v>
      </c>
      <c r="BO56" s="85">
        <f t="shared" si="186"/>
        <v>5.9106481068718117E-2</v>
      </c>
      <c r="BP56" s="85">
        <f t="shared" si="187"/>
        <v>6.8957561246837815E-2</v>
      </c>
      <c r="BQ56" s="85">
        <f t="shared" si="188"/>
        <v>99.999999999999986</v>
      </c>
      <c r="BR56" s="85"/>
      <c r="BS56" s="82">
        <f>AR56/Weights!$B$5*2+AS56/Weights!$B$7*2+AT56/Weights!$B$8*3+'Data and calc.'!BC56/Weights!$B$20*3+'Data and calc.'!BD56/Weights!$B$10+'Data and calc.'!AV56/Weights!$B$11+'Data and calc.'!AW56/Weights!$B$13+'Data and calc.'!AX56/Weights!$B$14+'Data and calc.'!AY56/Weights!$B$15+AZ56/Weights!$B$16+B56/Weights!$B$19+'Data and calc.'!BA56/Weights!$B$6*5</f>
        <v>2.787107822050789</v>
      </c>
      <c r="BT56" s="84">
        <f>AR56/Weights!$B$5*8/'Data and calc.'!$BS56</f>
        <v>2.368506109146312</v>
      </c>
      <c r="BU56" s="85">
        <f>AS56/Weights!$B$7*8/'Data and calc.'!$BS56</f>
        <v>3.6306608928906053E-2</v>
      </c>
      <c r="BV56" s="85">
        <f>AT56/Weights!$B$8*8/'Data and calc.'!$BS56*2</f>
        <v>0.87249286966880513</v>
      </c>
      <c r="BW56" s="85">
        <f>BC56/Weights!$B$20*8/'Data and calc.'!$BS56*2</f>
        <v>6.820901538385328E-2</v>
      </c>
      <c r="BX56" s="85">
        <f>BD56/Weights!$B$10*8/'Data and calc.'!$BS56</f>
        <v>0.30709594470960128</v>
      </c>
      <c r="BY56" s="85">
        <f>AV56/Weights!$B$11*8/'Data and calc.'!$BS56</f>
        <v>6.7465352341935471E-3</v>
      </c>
      <c r="BZ56" s="85">
        <f>AW56/Weights!$B$13*8/'Data and calc.'!$BS56</f>
        <v>0.67333911267359026</v>
      </c>
      <c r="CA56" s="85">
        <f>AX56/Weights!$B$14*8/'Data and calc.'!$BS56</f>
        <v>0.61246322592334279</v>
      </c>
      <c r="CB56" s="85">
        <f>AY56/Weights!$B$15*8/'Data and calc.'!$BS56*2</f>
        <v>0.20167246064847669</v>
      </c>
      <c r="CC56" s="85">
        <f>AZ56/Weights!$B$16*8/'Data and calc.'!$BS56*2</f>
        <v>3.5863740863295314E-3</v>
      </c>
      <c r="CD56" s="85">
        <f>BA56/Weights!$B$6*8/'Data and calc.'!$BS56*2</f>
        <v>2.7766364106294236E-3</v>
      </c>
      <c r="CE56" s="85">
        <f>B56/Weights!$B$19*8/'Data and calc.'!$BS56*2</f>
        <v>0.14021181867174037</v>
      </c>
      <c r="CF56" s="85">
        <f t="shared" si="189"/>
        <v>13.382058412511507</v>
      </c>
      <c r="CG56" s="85">
        <f t="shared" si="190"/>
        <v>0.7825228396973245</v>
      </c>
      <c r="CH56" s="85">
        <f t="shared" si="191"/>
        <v>2.7208716454186724E-2</v>
      </c>
      <c r="CI56" s="85">
        <f>AR56/Weights!$B$5*2+AS56/Weights!$B$7*2+AT56/Weights!$B$8*3+'Data and calc.'!BC56/Weights!$B$20*3+'Data and calc.'!BD56/Weights!$B$10+'Data and calc.'!AV56/Weights!$B$11+'Data and calc.'!AW56/Weights!$B$13+'Data and calc.'!AX56/Weights!$B$14+'Data and calc.'!AY56/Weights!$B$15+AZ56/Weights!$B$16+'Data and calc.'!BA56/Weights!$B$6*5</f>
        <v>2.7626837310155405</v>
      </c>
      <c r="CJ56" s="84">
        <f>AR56/Weights!$B$5*8/'Data and calc.'!$CI56</f>
        <v>2.3894453893751306</v>
      </c>
      <c r="CK56" s="85">
        <f>AS56/Weights!$B$7*8/'Data and calc.'!$CI56</f>
        <v>3.6627585199807244E-2</v>
      </c>
      <c r="CL56" s="85">
        <f>AT56/Weights!$B$8*8/'Data and calc.'!$CI56*2</f>
        <v>0.88020632779546615</v>
      </c>
      <c r="CM56" s="85">
        <f>BC56/Weights!$B$20*8/'Data and calc.'!$CI56*2</f>
        <v>6.8812031640277077E-2</v>
      </c>
      <c r="CN56" s="85">
        <f>BD56/Weights!$B$10*8/'Data and calc.'!$CI56</f>
        <v>0.30981089149338886</v>
      </c>
      <c r="CO56" s="85">
        <f>AV56/Weights!$B$11*8/'Data and calc.'!$CI56</f>
        <v>6.8061794087628464E-3</v>
      </c>
      <c r="CP56" s="85">
        <f>AW56/Weights!$B$13*8/'Data and calc.'!$CI56</f>
        <v>0.67929190980375176</v>
      </c>
      <c r="CQ56" s="85">
        <f>AX56/Weights!$B$14*8/'Data and calc.'!$CI56</f>
        <v>0.61787783687491737</v>
      </c>
      <c r="CR56" s="85">
        <f>AY56/Weights!$B$15*8/'Data and calc.'!$CI56*2</f>
        <v>0.20345538877842601</v>
      </c>
      <c r="CS56" s="85">
        <f>AZ56/Weights!$B$16*8/'Data and calc.'!$CI56*2</f>
        <v>3.6180801865202941E-3</v>
      </c>
      <c r="CT56" s="85">
        <f>BA56/Weights!$B$6*8/'Data and calc.'!$CI56*2</f>
        <v>2.8011838532858691E-3</v>
      </c>
      <c r="CU56" s="85">
        <f t="shared" si="192"/>
        <v>7.9999999999999973</v>
      </c>
      <c r="CV56" s="85">
        <f t="shared" si="193"/>
        <v>13.500365336042723</v>
      </c>
      <c r="CW56" s="85">
        <f t="shared" si="194"/>
        <v>0.74061245062275605</v>
      </c>
      <c r="CX56" s="113"/>
      <c r="CY56" s="90">
        <f t="shared" si="88"/>
        <v>4.5123360088584752E-3</v>
      </c>
      <c r="CZ56" s="91">
        <f t="shared" si="195"/>
        <v>0.44920662963552516</v>
      </c>
      <c r="DA56" s="85">
        <f t="shared" si="135"/>
        <v>9.2066296355251542E-3</v>
      </c>
      <c r="DB56" s="85">
        <f t="shared" si="136"/>
        <v>9.2066296355251542E-3</v>
      </c>
      <c r="DC56" s="85">
        <f t="shared" si="196"/>
        <v>8.4762029245730037E-5</v>
      </c>
      <c r="DD56" s="117"/>
      <c r="DE56" s="97"/>
      <c r="DF56" s="91">
        <f t="shared" si="138"/>
        <v>0.43676523208998458</v>
      </c>
      <c r="DG56" s="85">
        <f t="shared" si="139"/>
        <v>-3.2347679100154236E-3</v>
      </c>
      <c r="DH56" s="85">
        <f t="shared" si="140"/>
        <v>3.2347679100154236E-3</v>
      </c>
      <c r="DI56" s="85">
        <f t="shared" si="197"/>
        <v>1.0463723431665551E-5</v>
      </c>
      <c r="DK56" s="117"/>
      <c r="DL56" s="99">
        <f>'Eq. 3 coef.'!$B$15+'Eq. 3 coef.'!$B$16*'Data and calc.'!G56^2+'Eq. 3 coef.'!$B$17*'Data and calc.'!G56+'Eq. 3 coef.'!$B$18*'Data and calc.'!BF56+'Eq. 3 coef.'!$B$19*'Data and calc.'!BG56+'Eq. 3 coef.'!$B$20*'Data and calc.'!BH56+'Eq. 3 coef.'!$B$21*'Data and calc.'!BI56+'Eq. 3 coef.'!$B$22*'Data and calc.'!BJ56+'Eq. 3 coef.'!$B$23*'Data and calc.'!BK56+'Eq. 3 coef.'!$B$24*'Data and calc.'!BL56+'Eq. 3 coef.'!$B$25*'Data and calc.'!BM56+'Eq. 3 coef.'!$B$26*'Data and calc.'!BN56+'Eq. 3 coef.'!$B$27*'Data and calc.'!BO56+'Eq. 3 coef.'!$B$28*'Data and calc.'!BP56</f>
        <v>0.32960130329536241</v>
      </c>
      <c r="DM56" s="85">
        <f t="shared" si="198"/>
        <v>-0.11039869670463759</v>
      </c>
      <c r="DN56" s="85">
        <f t="shared" si="143"/>
        <v>0.11039869670463759</v>
      </c>
      <c r="DO56" s="85">
        <f t="shared" si="33"/>
        <v>1.2187872234082558E-2</v>
      </c>
      <c r="DP56" s="117"/>
      <c r="DQ56" s="99">
        <f>'Eq. 4 coef.'!$B$15+'Eq. 4 coef.'!$B$16*'Data and calc.'!G56^2+'Eq. 4 coef.'!$B$17*'Data and calc.'!G56+'Eq. 4 coef.'!$B$18*'Data and calc.'!O56+'Eq. 4 coef.'!$B$19*'Data and calc.'!P56+'Eq. 4 coef.'!$B$20*'Data and calc.'!Q56+'Eq. 4 coef.'!$B$21*'Data and calc.'!R56+'Eq. 4 coef.'!$B$22*'Data and calc.'!S56+'Eq. 4 coef.'!$B$23*'Data and calc.'!T56+'Eq. 4 coef.'!$B$24*'Data and calc.'!U56+'Eq. 4 coef.'!$B$25*'Data and calc.'!V56+'Eq. 4 coef.'!$B$26*'Data and calc.'!W56+'Eq. 4 coef.'!$B$27*'Data and calc.'!X56</f>
        <v>0.35436714250454315</v>
      </c>
      <c r="DR56" s="85">
        <f t="shared" si="199"/>
        <v>-8.5632857495456849E-2</v>
      </c>
      <c r="DS56" s="85">
        <f t="shared" si="145"/>
        <v>8.5632857495456849E-2</v>
      </c>
      <c r="DT56" s="85">
        <f t="shared" si="200"/>
        <v>7.3329862828372203E-3</v>
      </c>
    </row>
    <row r="57" spans="1:125" ht="15" x14ac:dyDescent="0.2">
      <c r="A57" s="66" t="s">
        <v>581</v>
      </c>
      <c r="B57" s="73">
        <v>1.17</v>
      </c>
      <c r="C57" s="73">
        <v>5.8499999999999996E-2</v>
      </c>
      <c r="D57" s="126">
        <f t="shared" si="111"/>
        <v>5</v>
      </c>
      <c r="E57" s="72">
        <f t="shared" si="112"/>
        <v>1.1838510573712435E-2</v>
      </c>
      <c r="F57" s="64">
        <f t="shared" si="113"/>
        <v>4.2665091141673264</v>
      </c>
      <c r="G57" s="73">
        <v>2.0655529802373325</v>
      </c>
      <c r="H57" s="73">
        <v>5.2693123994159929E-2</v>
      </c>
      <c r="I57" s="126">
        <f t="shared" si="106"/>
        <v>2.5510419969041647</v>
      </c>
      <c r="J57" s="70">
        <v>1190</v>
      </c>
      <c r="K57" s="70">
        <v>205</v>
      </c>
      <c r="L57" s="73">
        <v>0.13533833305337739</v>
      </c>
      <c r="M57" s="70">
        <v>2.6</v>
      </c>
      <c r="N57" s="64">
        <f t="shared" si="147"/>
        <v>0.86284164605080149</v>
      </c>
      <c r="O57" s="76">
        <v>49.891433083300427</v>
      </c>
      <c r="P57" s="73">
        <v>1.0165811290959335</v>
      </c>
      <c r="Q57" s="73">
        <v>15.594157125937624</v>
      </c>
      <c r="R57" s="73">
        <v>9.4551914725621788</v>
      </c>
      <c r="S57" s="73">
        <v>0.16778523489932889</v>
      </c>
      <c r="T57" s="73">
        <v>9.5144097907619418</v>
      </c>
      <c r="U57" s="73">
        <v>12.041058033951835</v>
      </c>
      <c r="V57" s="73">
        <v>2.1910777733912359</v>
      </c>
      <c r="W57" s="73">
        <v>5.9218318199763122E-2</v>
      </c>
      <c r="X57" s="73">
        <v>6.9088037899723648E-2</v>
      </c>
      <c r="Y57" s="73">
        <f t="shared" si="148"/>
        <v>99.999999999999986</v>
      </c>
      <c r="Z57" s="73">
        <v>2.2502960915909989</v>
      </c>
      <c r="AA57" s="73">
        <v>0.61125388322452312</v>
      </c>
      <c r="AB57" s="59">
        <f t="shared" si="149"/>
        <v>3.7270910713547911</v>
      </c>
      <c r="AC57" s="60">
        <f t="shared" si="150"/>
        <v>6.097451768638944</v>
      </c>
      <c r="AD57" s="57">
        <f t="shared" si="151"/>
        <v>100.36935136743156</v>
      </c>
      <c r="AE57" s="57"/>
      <c r="AF57" s="57">
        <f t="shared" si="152"/>
        <v>49.307703316225819</v>
      </c>
      <c r="AG57" s="57">
        <f t="shared" si="153"/>
        <v>1.0046871298855111</v>
      </c>
      <c r="AH57" s="57">
        <f t="shared" si="154"/>
        <v>15.411705487564154</v>
      </c>
      <c r="AI57" s="57">
        <f t="shared" si="155"/>
        <v>9.3445657323332014</v>
      </c>
      <c r="AJ57" s="57">
        <f t="shared" si="156"/>
        <v>0.16582214765100672</v>
      </c>
      <c r="AK57" s="57">
        <f t="shared" si="157"/>
        <v>9.4030911962100259</v>
      </c>
      <c r="AL57" s="57">
        <f t="shared" si="158"/>
        <v>11.900177654954598</v>
      </c>
      <c r="AM57" s="57">
        <f t="shared" si="159"/>
        <v>2.1654421634425582</v>
      </c>
      <c r="AN57" s="57">
        <f t="shared" si="160"/>
        <v>5.8525463876825896E-2</v>
      </c>
      <c r="AO57" s="57">
        <f t="shared" si="161"/>
        <v>6.8279707856296876E-2</v>
      </c>
      <c r="AP57" s="57">
        <f t="shared" si="162"/>
        <v>98.830000000000013</v>
      </c>
      <c r="AQ57" s="57"/>
      <c r="AR57" s="84">
        <f t="shared" si="163"/>
        <v>49.126254822271839</v>
      </c>
      <c r="AS57" s="85">
        <f t="shared" si="164"/>
        <v>1.0009899597812064</v>
      </c>
      <c r="AT57" s="85">
        <f t="shared" si="165"/>
        <v>15.354991616061231</v>
      </c>
      <c r="AU57" s="85">
        <f t="shared" si="166"/>
        <v>9.3101784608776317</v>
      </c>
      <c r="AV57" s="85">
        <f t="shared" si="167"/>
        <v>0.16521193510951956</v>
      </c>
      <c r="AW57" s="85">
        <f t="shared" si="168"/>
        <v>9.3684885556221662</v>
      </c>
      <c r="AX57" s="85">
        <f t="shared" si="169"/>
        <v>11.856385931389049</v>
      </c>
      <c r="AY57" s="85">
        <f t="shared" si="170"/>
        <v>2.1574735055478436</v>
      </c>
      <c r="AZ57" s="85">
        <f t="shared" si="171"/>
        <v>5.8310094744536307E-2</v>
      </c>
      <c r="BA57" s="85">
        <f t="shared" si="172"/>
        <v>6.8028443868625693E-2</v>
      </c>
      <c r="BB57" s="85">
        <f t="shared" si="173"/>
        <v>98.46631332527366</v>
      </c>
      <c r="BC57" s="85">
        <f t="shared" si="174"/>
        <v>3.6699291722385072</v>
      </c>
      <c r="BD57" s="85">
        <f t="shared" si="175"/>
        <v>6.0039359633654632</v>
      </c>
      <c r="BE57" s="85">
        <f t="shared" si="176"/>
        <v>100</v>
      </c>
      <c r="BF57" s="84">
        <f t="shared" si="177"/>
        <v>49.707836509432198</v>
      </c>
      <c r="BG57" s="85">
        <f t="shared" si="178"/>
        <v>1.0128401900042563</v>
      </c>
      <c r="BH57" s="85">
        <f t="shared" si="179"/>
        <v>15.536771846667239</v>
      </c>
      <c r="BI57" s="85">
        <f t="shared" si="180"/>
        <v>3.7133756675488288</v>
      </c>
      <c r="BJ57" s="85">
        <f t="shared" si="181"/>
        <v>6.0750136227516585</v>
      </c>
      <c r="BK57" s="85">
        <f t="shared" si="182"/>
        <v>0.16716779835021711</v>
      </c>
      <c r="BL57" s="85">
        <f t="shared" si="183"/>
        <v>9.4793975064476026</v>
      </c>
      <c r="BM57" s="85">
        <f t="shared" si="184"/>
        <v>11.996747881603815</v>
      </c>
      <c r="BN57" s="85">
        <f t="shared" si="185"/>
        <v>2.1830147784557763</v>
      </c>
      <c r="BO57" s="85">
        <f t="shared" si="186"/>
        <v>5.9000399417723677E-2</v>
      </c>
      <c r="BP57" s="85">
        <f t="shared" si="187"/>
        <v>6.8833799320677624E-2</v>
      </c>
      <c r="BQ57" s="85">
        <f t="shared" si="188"/>
        <v>99.999999999999972</v>
      </c>
      <c r="BR57" s="85"/>
      <c r="BS57" s="82">
        <f>AR57/Weights!$B$5*2+AS57/Weights!$B$7*2+AT57/Weights!$B$8*3+'Data and calc.'!BC57/Weights!$B$20*3+'Data and calc.'!BD57/Weights!$B$10+'Data and calc.'!AV57/Weights!$B$11+'Data and calc.'!AW57/Weights!$B$13+'Data and calc.'!AX57/Weights!$B$14+'Data and calc.'!AY57/Weights!$B$15+AZ57/Weights!$B$16+B57/Weights!$B$19+'Data and calc.'!BA57/Weights!$B$6*5</f>
        <v>2.8136324180883627</v>
      </c>
      <c r="BT57" s="84">
        <f>AR57/Weights!$B$5*8/'Data and calc.'!$BS57</f>
        <v>2.3247950656111724</v>
      </c>
      <c r="BU57" s="85">
        <f>AS57/Weights!$B$7*8/'Data and calc.'!$BS57</f>
        <v>3.563656642516233E-2</v>
      </c>
      <c r="BV57" s="85">
        <f>AT57/Weights!$B$8*8/'Data and calc.'!$BS57*2</f>
        <v>0.85639091676992163</v>
      </c>
      <c r="BW57" s="85">
        <f>BC57/Weights!$B$20*8/'Data and calc.'!$BS57*2</f>
        <v>0.13068951436492116</v>
      </c>
      <c r="BX57" s="85">
        <f>BD57/Weights!$B$10*8/'Data and calc.'!$BS57</f>
        <v>0.23761189347455616</v>
      </c>
      <c r="BY57" s="85">
        <f>AV57/Weights!$B$11*8/'Data and calc.'!$BS57</f>
        <v>6.6220271764796997E-3</v>
      </c>
      <c r="BZ57" s="85">
        <f>AW57/Weights!$B$13*8/'Data and calc.'!$BS57</f>
        <v>0.66091256449863278</v>
      </c>
      <c r="CA57" s="85">
        <f>AX57/Weights!$B$14*8/'Data and calc.'!$BS57</f>
        <v>0.60116014900552295</v>
      </c>
      <c r="CB57" s="85">
        <f>AY57/Weights!$B$15*8/'Data and calc.'!$BS57*2</f>
        <v>0.19795057296864221</v>
      </c>
      <c r="CC57" s="85">
        <f>AZ57/Weights!$B$16*8/'Data and calc.'!$BS57*2</f>
        <v>3.5201871538933093E-3</v>
      </c>
      <c r="CD57" s="85">
        <f>BA57/Weights!$B$6*8/'Data and calc.'!$BS57*2</f>
        <v>2.7253932770113214E-3</v>
      </c>
      <c r="CE57" s="85">
        <f>B57/Weights!$B$19*8/'Data and calc.'!$BS57*2</f>
        <v>0.36932118363215793</v>
      </c>
      <c r="CF57" s="85">
        <f t="shared" si="189"/>
        <v>13.390048252684709</v>
      </c>
      <c r="CG57" s="85">
        <f t="shared" si="190"/>
        <v>0.77966910889719754</v>
      </c>
      <c r="CH57" s="85">
        <f t="shared" si="191"/>
        <v>7.3017022395486589E-2</v>
      </c>
      <c r="CI57" s="85">
        <f>AR57/Weights!$B$5*2+AS57/Weights!$B$7*2+AT57/Weights!$B$8*3+'Data and calc.'!BC57/Weights!$B$20*3+'Data and calc.'!BD57/Weights!$B$10+'Data and calc.'!AV57/Weights!$B$11+'Data and calc.'!AW57/Weights!$B$13+'Data and calc.'!AX57/Weights!$B$14+'Data and calc.'!AY57/Weights!$B$15+AZ57/Weights!$B$16+'Data and calc.'!BA57/Weights!$B$6*5</f>
        <v>2.748686539653725</v>
      </c>
      <c r="CJ57" s="84">
        <f>AR57/Weights!$B$5*8/'Data and calc.'!$CI57</f>
        <v>2.3797252497330947</v>
      </c>
      <c r="CK57" s="85">
        <f>AS57/Weights!$B$7*8/'Data and calc.'!$CI57</f>
        <v>3.6478586087094408E-2</v>
      </c>
      <c r="CL57" s="85">
        <f>AT57/Weights!$B$8*8/'Data and calc.'!$CI57*2</f>
        <v>0.87662569420659298</v>
      </c>
      <c r="CM57" s="85">
        <f>BC57/Weights!$B$20*8/'Data and calc.'!$CI57*2</f>
        <v>0.13377744206790879</v>
      </c>
      <c r="CN57" s="85">
        <f>BD57/Weights!$B$10*8/'Data and calc.'!$CI57</f>
        <v>0.2432261797620594</v>
      </c>
      <c r="CO57" s="85">
        <f>AV57/Weights!$B$11*8/'Data and calc.'!$CI57</f>
        <v>6.7784922247091347E-3</v>
      </c>
      <c r="CP57" s="85">
        <f>AW57/Weights!$B$13*8/'Data and calc.'!$CI57</f>
        <v>0.67652858562385731</v>
      </c>
      <c r="CQ57" s="85">
        <f>AX57/Weights!$B$14*8/'Data and calc.'!$CI57</f>
        <v>0.61536434195143086</v>
      </c>
      <c r="CR57" s="85">
        <f>AY57/Weights!$B$15*8/'Data and calc.'!$CI57*2</f>
        <v>0.20262774283236482</v>
      </c>
      <c r="CS57" s="85">
        <f>AZ57/Weights!$B$16*8/'Data and calc.'!$CI57*2</f>
        <v>3.6033620243871738E-3</v>
      </c>
      <c r="CT57" s="85">
        <f>BA57/Weights!$B$6*8/'Data and calc.'!$CI57*2</f>
        <v>2.7897887829745637E-3</v>
      </c>
      <c r="CU57" s="85">
        <f t="shared" si="192"/>
        <v>8</v>
      </c>
      <c r="CV57" s="85">
        <f t="shared" si="193"/>
        <v>13.706427888378762</v>
      </c>
      <c r="CW57" s="85">
        <f t="shared" si="194"/>
        <v>0.66934204310544942</v>
      </c>
      <c r="CX57" s="113"/>
      <c r="CY57" s="90">
        <f t="shared" si="88"/>
        <v>1.411441115984343E-2</v>
      </c>
      <c r="CZ57" s="91">
        <f t="shared" si="195"/>
        <v>1.3917967247601546</v>
      </c>
      <c r="DA57" s="85">
        <f t="shared" si="135"/>
        <v>0.22179672476015466</v>
      </c>
      <c r="DB57" s="85">
        <f t="shared" si="136"/>
        <v>0.22179672476015466</v>
      </c>
      <c r="DC57" s="85">
        <f t="shared" si="196"/>
        <v>4.9193787114331804E-2</v>
      </c>
      <c r="DD57" s="117"/>
      <c r="DE57" s="97"/>
      <c r="DF57" s="91">
        <f t="shared" si="138"/>
        <v>1.3918686507586391</v>
      </c>
      <c r="DG57" s="85">
        <f t="shared" si="139"/>
        <v>0.22186865075863915</v>
      </c>
      <c r="DH57" s="85">
        <f t="shared" si="140"/>
        <v>0.22186865075863915</v>
      </c>
      <c r="DI57" s="85">
        <f t="shared" si="197"/>
        <v>4.9225698189458988E-2</v>
      </c>
      <c r="DK57" s="117"/>
      <c r="DL57" s="99">
        <f>'Eq. 3 coef.'!$B$15+'Eq. 3 coef.'!$B$16*'Data and calc.'!G57^2+'Eq. 3 coef.'!$B$17*'Data and calc.'!G57+'Eq. 3 coef.'!$B$18*'Data and calc.'!BF57+'Eq. 3 coef.'!$B$19*'Data and calc.'!BG57+'Eq. 3 coef.'!$B$20*'Data and calc.'!BH57+'Eq. 3 coef.'!$B$21*'Data and calc.'!BI57+'Eq. 3 coef.'!$B$22*'Data and calc.'!BJ57+'Eq. 3 coef.'!$B$23*'Data and calc.'!BK57+'Eq. 3 coef.'!$B$24*'Data and calc.'!BL57+'Eq. 3 coef.'!$B$25*'Data and calc.'!BM57+'Eq. 3 coef.'!$B$26*'Data and calc.'!BN57+'Eq. 3 coef.'!$B$27*'Data and calc.'!BO57+'Eq. 3 coef.'!$B$28*'Data and calc.'!BP57</f>
        <v>1.2656405300784854</v>
      </c>
      <c r="DM57" s="85">
        <f t="shared" si="198"/>
        <v>9.5640530078485497E-2</v>
      </c>
      <c r="DN57" s="85">
        <f t="shared" si="143"/>
        <v>9.5640530078485497E-2</v>
      </c>
      <c r="DO57" s="85">
        <f t="shared" si="33"/>
        <v>9.1471109936936898E-3</v>
      </c>
      <c r="DP57" s="117"/>
      <c r="DQ57" s="99">
        <f>'Eq. 4 coef.'!$B$15+'Eq. 4 coef.'!$B$16*'Data and calc.'!G57^2+'Eq. 4 coef.'!$B$17*'Data and calc.'!G57+'Eq. 4 coef.'!$B$18*'Data and calc.'!O57+'Eq. 4 coef.'!$B$19*'Data and calc.'!P57+'Eq. 4 coef.'!$B$20*'Data and calc.'!Q57+'Eq. 4 coef.'!$B$21*'Data and calc.'!R57+'Eq. 4 coef.'!$B$22*'Data and calc.'!S57+'Eq. 4 coef.'!$B$23*'Data and calc.'!T57+'Eq. 4 coef.'!$B$24*'Data and calc.'!U57+'Eq. 4 coef.'!$B$25*'Data and calc.'!V57+'Eq. 4 coef.'!$B$26*'Data and calc.'!W57+'Eq. 4 coef.'!$B$27*'Data and calc.'!X57</f>
        <v>1.2999853656706364</v>
      </c>
      <c r="DR57" s="85">
        <f t="shared" si="199"/>
        <v>0.12998536567063645</v>
      </c>
      <c r="DS57" s="85">
        <f t="shared" si="145"/>
        <v>0.12998536567063645</v>
      </c>
      <c r="DT57" s="85">
        <f t="shared" si="200"/>
        <v>1.6896195288529075E-2</v>
      </c>
    </row>
    <row r="58" spans="1:125" ht="15" x14ac:dyDescent="0.2">
      <c r="A58" s="66" t="s">
        <v>582</v>
      </c>
      <c r="B58" s="73">
        <v>0.91</v>
      </c>
      <c r="C58" s="73">
        <v>4.5500000000000006E-2</v>
      </c>
      <c r="D58" s="126">
        <f t="shared" si="111"/>
        <v>5.0000000000000009</v>
      </c>
      <c r="E58" s="72">
        <f t="shared" si="112"/>
        <v>9.1835704914723995E-3</v>
      </c>
      <c r="F58" s="64">
        <f t="shared" si="113"/>
        <v>3.4205114855629057</v>
      </c>
      <c r="G58" s="73">
        <v>1.8494624855786899</v>
      </c>
      <c r="H58" s="73">
        <v>3.2785613235791024E-2</v>
      </c>
      <c r="I58" s="126">
        <f t="shared" si="106"/>
        <v>1.7727103680901388</v>
      </c>
      <c r="J58" s="70">
        <v>1190</v>
      </c>
      <c r="K58" s="70">
        <v>205</v>
      </c>
      <c r="L58" s="73">
        <v>8.7604434307883186E-2</v>
      </c>
      <c r="M58" s="70">
        <v>2.6</v>
      </c>
      <c r="N58" s="64">
        <f t="shared" si="147"/>
        <v>0.48505217915589993</v>
      </c>
      <c r="O58" s="76">
        <v>49.891433083300427</v>
      </c>
      <c r="P58" s="73">
        <v>1.0165811290959335</v>
      </c>
      <c r="Q58" s="73">
        <v>15.594157125937624</v>
      </c>
      <c r="R58" s="73">
        <v>9.4551914725621788</v>
      </c>
      <c r="S58" s="73">
        <v>0.16778523489932889</v>
      </c>
      <c r="T58" s="73">
        <v>9.5144097907619418</v>
      </c>
      <c r="U58" s="73">
        <v>12.041058033951835</v>
      </c>
      <c r="V58" s="73">
        <v>2.1910777733912359</v>
      </c>
      <c r="W58" s="73">
        <v>5.9218318199763122E-2</v>
      </c>
      <c r="X58" s="73">
        <v>6.9088037899723648E-2</v>
      </c>
      <c r="Y58" s="73">
        <f t="shared" si="148"/>
        <v>99.999999999999986</v>
      </c>
      <c r="Z58" s="73">
        <v>2.2502960915909989</v>
      </c>
      <c r="AA58" s="73">
        <v>0.49176458102586029</v>
      </c>
      <c r="AB58" s="59">
        <f t="shared" si="149"/>
        <v>3.2221953489263231</v>
      </c>
      <c r="AC58" s="60">
        <f t="shared" si="150"/>
        <v>6.5523127798357619</v>
      </c>
      <c r="AD58" s="57">
        <f t="shared" si="151"/>
        <v>100.3193166561999</v>
      </c>
      <c r="AE58" s="57"/>
      <c r="AF58" s="57">
        <f t="shared" si="152"/>
        <v>49.437421042242391</v>
      </c>
      <c r="AG58" s="57">
        <f t="shared" si="153"/>
        <v>1.0073302408211604</v>
      </c>
      <c r="AH58" s="57">
        <f t="shared" si="154"/>
        <v>15.452250296091593</v>
      </c>
      <c r="AI58" s="57">
        <f t="shared" si="155"/>
        <v>9.3691492301618631</v>
      </c>
      <c r="AJ58" s="57">
        <f t="shared" si="156"/>
        <v>0.16625838926174502</v>
      </c>
      <c r="AK58" s="57">
        <f t="shared" si="157"/>
        <v>9.4278286616660072</v>
      </c>
      <c r="AL58" s="57">
        <f t="shared" si="158"/>
        <v>11.931484405842873</v>
      </c>
      <c r="AM58" s="57">
        <f t="shared" si="159"/>
        <v>2.1711389656533755</v>
      </c>
      <c r="AN58" s="57">
        <f t="shared" si="160"/>
        <v>5.8679431504145285E-2</v>
      </c>
      <c r="AO58" s="57">
        <f t="shared" si="161"/>
        <v>6.8459336754836161E-2</v>
      </c>
      <c r="AP58" s="57">
        <f t="shared" si="162"/>
        <v>99.09</v>
      </c>
      <c r="AQ58" s="57"/>
      <c r="AR58" s="84">
        <f t="shared" si="163"/>
        <v>49.280061597376402</v>
      </c>
      <c r="AS58" s="85">
        <f t="shared" si="164"/>
        <v>1.0041239059406071</v>
      </c>
      <c r="AT58" s="85">
        <f t="shared" si="165"/>
        <v>15.403065741613201</v>
      </c>
      <c r="AU58" s="85">
        <f t="shared" si="166"/>
        <v>9.3393272028262313</v>
      </c>
      <c r="AV58" s="85">
        <f t="shared" si="167"/>
        <v>0.16572918835912942</v>
      </c>
      <c r="AW58" s="85">
        <f t="shared" si="168"/>
        <v>9.3978198575412168</v>
      </c>
      <c r="AX58" s="85">
        <f t="shared" si="169"/>
        <v>11.893506458713988</v>
      </c>
      <c r="AY58" s="85">
        <f t="shared" si="170"/>
        <v>2.1642282244545132</v>
      </c>
      <c r="AZ58" s="85">
        <f t="shared" si="171"/>
        <v>5.8492654714986832E-2</v>
      </c>
      <c r="BA58" s="85">
        <f t="shared" si="172"/>
        <v>6.8241430500817976E-2</v>
      </c>
      <c r="BB58" s="85">
        <f t="shared" si="173"/>
        <v>98.774596262041086</v>
      </c>
      <c r="BC58" s="85">
        <f t="shared" si="174"/>
        <v>3.1827104466762424</v>
      </c>
      <c r="BD58" s="85">
        <f t="shared" si="175"/>
        <v>6.4720204941088957</v>
      </c>
      <c r="BE58" s="85">
        <f t="shared" si="176"/>
        <v>99.999999999999986</v>
      </c>
      <c r="BF58" s="84">
        <f t="shared" si="177"/>
        <v>49.732628516880013</v>
      </c>
      <c r="BG58" s="85">
        <f t="shared" si="178"/>
        <v>1.0133453486129853</v>
      </c>
      <c r="BH58" s="85">
        <f t="shared" si="179"/>
        <v>15.544520881636087</v>
      </c>
      <c r="BI58" s="85">
        <f t="shared" si="180"/>
        <v>3.2119390924172389</v>
      </c>
      <c r="BJ58" s="85">
        <f t="shared" si="181"/>
        <v>6.5314567505387986</v>
      </c>
      <c r="BK58" s="85">
        <f t="shared" si="182"/>
        <v>0.16725117404292</v>
      </c>
      <c r="BL58" s="85">
        <f t="shared" si="183"/>
        <v>9.4841253986691054</v>
      </c>
      <c r="BM58" s="85">
        <f t="shared" si="184"/>
        <v>12.00273131366837</v>
      </c>
      <c r="BN58" s="85">
        <f t="shared" si="185"/>
        <v>2.1841035669134254</v>
      </c>
      <c r="BO58" s="85">
        <f t="shared" si="186"/>
        <v>5.9029826132795268E-2</v>
      </c>
      <c r="BP58" s="85">
        <f t="shared" si="187"/>
        <v>6.8868130488261153E-2</v>
      </c>
      <c r="BQ58" s="85">
        <f t="shared" si="188"/>
        <v>99.999999999999986</v>
      </c>
      <c r="BR58" s="85"/>
      <c r="BS58" s="82">
        <f>AR58/Weights!$B$5*2+AS58/Weights!$B$7*2+AT58/Weights!$B$8*3+'Data and calc.'!BC58/Weights!$B$20*3+'Data and calc.'!BD58/Weights!$B$10+'Data and calc.'!AV58/Weights!$B$11+'Data and calc.'!AW58/Weights!$B$13+'Data and calc.'!AX58/Weights!$B$14+'Data and calc.'!AY58/Weights!$B$15+AZ58/Weights!$B$16+B58/Weights!$B$19+'Data and calc.'!BA58/Weights!$B$6*5</f>
        <v>2.804690248860056</v>
      </c>
      <c r="BT58" s="84">
        <f>AR58/Weights!$B$5*8/'Data and calc.'!$BS58</f>
        <v>2.3395089725435541</v>
      </c>
      <c r="BU58" s="85">
        <f>AS58/Weights!$B$7*8/'Data and calc.'!$BS58</f>
        <v>3.5862114530251593E-2</v>
      </c>
      <c r="BV58" s="85">
        <f>AT58/Weights!$B$8*8/'Data and calc.'!$BS58*2</f>
        <v>0.86181111764417673</v>
      </c>
      <c r="BW58" s="85">
        <f>BC58/Weights!$B$20*8/'Data and calc.'!$BS58*2</f>
        <v>0.11370057100304709</v>
      </c>
      <c r="BX58" s="85">
        <f>BD58/Weights!$B$10*8/'Data and calc.'!$BS58</f>
        <v>0.25695345527126323</v>
      </c>
      <c r="BY58" s="85">
        <f>AV58/Weights!$B$11*8/'Data and calc.'!$BS58</f>
        <v>6.663938781085078E-3</v>
      </c>
      <c r="BZ58" s="85">
        <f>AW58/Weights!$B$13*8/'Data and calc.'!$BS58</f>
        <v>0.66509555942507725</v>
      </c>
      <c r="CA58" s="85">
        <f>AX58/Weights!$B$14*8/'Data and calc.'!$BS58</f>
        <v>0.60496496372436293</v>
      </c>
      <c r="CB58" s="85">
        <f>AY58/Weights!$B$15*8/'Data and calc.'!$BS58*2</f>
        <v>0.19920342589789886</v>
      </c>
      <c r="CC58" s="85">
        <f>AZ58/Weights!$B$16*8/'Data and calc.'!$BS58*2</f>
        <v>3.542466840792651E-3</v>
      </c>
      <c r="CD58" s="85">
        <f>BA58/Weights!$B$6*8/'Data and calc.'!$BS58*2</f>
        <v>2.7426426180931522E-3</v>
      </c>
      <c r="CE58" s="85">
        <f>B58/Weights!$B$19*8/'Data and calc.'!$BS58*2</f>
        <v>0.28816564553037016</v>
      </c>
      <c r="CF58" s="85">
        <f t="shared" si="189"/>
        <v>13.40353110288412</v>
      </c>
      <c r="CG58" s="85">
        <f t="shared" si="190"/>
        <v>0.77486115477649975</v>
      </c>
      <c r="CH58" s="85">
        <f t="shared" si="191"/>
        <v>5.6613528201134487E-2</v>
      </c>
      <c r="CI58" s="85">
        <f>AR58/Weights!$B$5*2+AS58/Weights!$B$7*2+AT58/Weights!$B$8*3+'Data and calc.'!BC58/Weights!$B$20*3+'Data and calc.'!BD58/Weights!$B$10+'Data and calc.'!AV58/Weights!$B$11+'Data and calc.'!AW58/Weights!$B$13+'Data and calc.'!AX58/Weights!$B$14+'Data and calc.'!AY58/Weights!$B$15+AZ58/Weights!$B$16+'Data and calc.'!BA58/Weights!$B$6*5</f>
        <v>2.7541767878553376</v>
      </c>
      <c r="CJ58" s="84">
        <f>AR58/Weights!$B$5*8/'Data and calc.'!$CI58</f>
        <v>2.3824171459679593</v>
      </c>
      <c r="CK58" s="85">
        <f>AS58/Weights!$B$7*8/'Data and calc.'!$CI58</f>
        <v>3.6519849913055846E-2</v>
      </c>
      <c r="CL58" s="85">
        <f>AT58/Weights!$B$8*8/'Data and calc.'!$CI58*2</f>
        <v>0.87761731515354235</v>
      </c>
      <c r="CM58" s="85">
        <f>BC58/Weights!$B$20*8/'Data and calc.'!$CI58*2</f>
        <v>0.11578591620851918</v>
      </c>
      <c r="CN58" s="85">
        <f>BD58/Weights!$B$10*8/'Data and calc.'!$CI58</f>
        <v>0.26166615505150492</v>
      </c>
      <c r="CO58" s="85">
        <f>AV58/Weights!$B$11*8/'Data and calc.'!$CI58</f>
        <v>6.7861599156326157E-3</v>
      </c>
      <c r="CP58" s="85">
        <f>AW58/Weights!$B$13*8/'Data and calc.'!$CI58</f>
        <v>0.67729386083897858</v>
      </c>
      <c r="CQ58" s="85">
        <f>AX58/Weights!$B$14*8/'Data and calc.'!$CI58</f>
        <v>0.61606042943268713</v>
      </c>
      <c r="CR58" s="85">
        <f>AY58/Weights!$B$15*8/'Data and calc.'!$CI58*2</f>
        <v>0.20285695116558344</v>
      </c>
      <c r="CS58" s="85">
        <f>AZ58/Weights!$B$16*8/'Data and calc.'!$CI58*2</f>
        <v>3.6074380733627392E-3</v>
      </c>
      <c r="CT58" s="85">
        <f>BA58/Weights!$B$6*8/'Data and calc.'!$CI58*2</f>
        <v>2.7929445346403492E-3</v>
      </c>
      <c r="CU58" s="85">
        <f t="shared" si="192"/>
        <v>7.9999999999999991</v>
      </c>
      <c r="CV58" s="85">
        <f t="shared" si="193"/>
        <v>13.649360908972305</v>
      </c>
      <c r="CW58" s="85">
        <f t="shared" si="194"/>
        <v>0.68886422058999697</v>
      </c>
      <c r="CX58" s="113"/>
      <c r="CY58" s="90">
        <f t="shared" si="88"/>
        <v>1.2253872000832521E-2</v>
      </c>
      <c r="CZ58" s="91">
        <f t="shared" si="195"/>
        <v>1.2105532356829989</v>
      </c>
      <c r="DA58" s="85">
        <f t="shared" si="135"/>
        <v>0.30055323568299885</v>
      </c>
      <c r="DB58" s="85">
        <f t="shared" si="136"/>
        <v>0.30055323568299885</v>
      </c>
      <c r="DC58" s="85">
        <f t="shared" si="196"/>
        <v>9.0332247479520261E-2</v>
      </c>
      <c r="DD58" s="117"/>
      <c r="DE58" s="97"/>
      <c r="DF58" s="91">
        <f t="shared" si="138"/>
        <v>1.2084765987590835</v>
      </c>
      <c r="DG58" s="85">
        <f t="shared" si="139"/>
        <v>0.2984765987590835</v>
      </c>
      <c r="DH58" s="85">
        <f t="shared" si="140"/>
        <v>0.2984765987590835</v>
      </c>
      <c r="DI58" s="85">
        <f t="shared" si="197"/>
        <v>8.9088280006790921E-2</v>
      </c>
      <c r="DK58" s="117"/>
      <c r="DL58" s="99">
        <f>'Eq. 3 coef.'!$B$15+'Eq. 3 coef.'!$B$16*'Data and calc.'!G58^2+'Eq. 3 coef.'!$B$17*'Data and calc.'!G58+'Eq. 3 coef.'!$B$18*'Data and calc.'!BF58+'Eq. 3 coef.'!$B$19*'Data and calc.'!BG58+'Eq. 3 coef.'!$B$20*'Data and calc.'!BH58+'Eq. 3 coef.'!$B$21*'Data and calc.'!BI58+'Eq. 3 coef.'!$B$22*'Data and calc.'!BJ58+'Eq. 3 coef.'!$B$23*'Data and calc.'!BK58+'Eq. 3 coef.'!$B$24*'Data and calc.'!BL58+'Eq. 3 coef.'!$B$25*'Data and calc.'!BM58+'Eq. 3 coef.'!$B$26*'Data and calc.'!BN58+'Eq. 3 coef.'!$B$27*'Data and calc.'!BO58+'Eq. 3 coef.'!$B$28*'Data and calc.'!BP58</f>
        <v>1.0918584648570686</v>
      </c>
      <c r="DM58" s="85">
        <f t="shared" si="198"/>
        <v>0.18185846485706858</v>
      </c>
      <c r="DN58" s="85">
        <f t="shared" si="143"/>
        <v>0.18185846485706858</v>
      </c>
      <c r="DO58" s="85">
        <f t="shared" si="33"/>
        <v>3.3072501240169645E-2</v>
      </c>
      <c r="DP58" s="117"/>
      <c r="DQ58" s="99">
        <f>'Eq. 4 coef.'!$B$15+'Eq. 4 coef.'!$B$16*'Data and calc.'!G58^2+'Eq. 4 coef.'!$B$17*'Data and calc.'!G58+'Eq. 4 coef.'!$B$18*'Data and calc.'!O58+'Eq. 4 coef.'!$B$19*'Data and calc.'!P58+'Eq. 4 coef.'!$B$20*'Data and calc.'!Q58+'Eq. 4 coef.'!$B$21*'Data and calc.'!R58+'Eq. 4 coef.'!$B$22*'Data and calc.'!S58+'Eq. 4 coef.'!$B$23*'Data and calc.'!T58+'Eq. 4 coef.'!$B$24*'Data and calc.'!U58+'Eq. 4 coef.'!$B$25*'Data and calc.'!V58+'Eq. 4 coef.'!$B$26*'Data and calc.'!W58+'Eq. 4 coef.'!$B$27*'Data and calc.'!X58</f>
        <v>1.1185194665645213</v>
      </c>
      <c r="DR58" s="85">
        <f t="shared" si="199"/>
        <v>0.20851946656452125</v>
      </c>
      <c r="DS58" s="85">
        <f t="shared" si="145"/>
        <v>0.20851946656452125</v>
      </c>
      <c r="DT58" s="85">
        <f t="shared" si="200"/>
        <v>4.3480367936352494E-2</v>
      </c>
    </row>
    <row r="59" spans="1:125" ht="15" x14ac:dyDescent="0.2">
      <c r="A59" s="66" t="s">
        <v>583</v>
      </c>
      <c r="B59" s="73">
        <v>0.64</v>
      </c>
      <c r="C59" s="73">
        <v>3.2000000000000001E-2</v>
      </c>
      <c r="D59" s="126">
        <f t="shared" si="111"/>
        <v>5</v>
      </c>
      <c r="E59" s="72">
        <f t="shared" si="112"/>
        <v>6.4412238325281803E-3</v>
      </c>
      <c r="F59" s="64">
        <f t="shared" si="113"/>
        <v>1.657734044717303</v>
      </c>
      <c r="G59" s="73">
        <v>1.2875302111862474</v>
      </c>
      <c r="H59" s="73">
        <v>6.8559870210099447E-2</v>
      </c>
      <c r="I59" s="126">
        <f t="shared" si="106"/>
        <v>5.324913513829924</v>
      </c>
      <c r="J59" s="70">
        <v>1210</v>
      </c>
      <c r="K59" s="70">
        <v>204</v>
      </c>
      <c r="L59" s="73">
        <v>4.6856803189588431E-2</v>
      </c>
      <c r="M59" s="70">
        <v>2.6</v>
      </c>
      <c r="N59" s="64">
        <f t="shared" si="147"/>
        <v>-5.8454689031708362E-2</v>
      </c>
      <c r="O59" s="76">
        <v>49.891433083300427</v>
      </c>
      <c r="P59" s="73">
        <v>1.0165811290959335</v>
      </c>
      <c r="Q59" s="73">
        <v>15.594157125937624</v>
      </c>
      <c r="R59" s="73">
        <v>9.4551914725621788</v>
      </c>
      <c r="S59" s="73">
        <v>0.16778523489932889</v>
      </c>
      <c r="T59" s="73">
        <v>9.5144097907619418</v>
      </c>
      <c r="U59" s="73">
        <v>12.041058033951835</v>
      </c>
      <c r="V59" s="73">
        <v>2.1910777733912359</v>
      </c>
      <c r="W59" s="73">
        <v>5.9218318199763122E-2</v>
      </c>
      <c r="X59" s="73">
        <v>6.9088037899723648E-2</v>
      </c>
      <c r="Y59" s="73">
        <f t="shared" si="148"/>
        <v>99.999999999999986</v>
      </c>
      <c r="Z59" s="73">
        <v>2.2502960915909989</v>
      </c>
      <c r="AA59" s="73">
        <v>0.3521408564442533</v>
      </c>
      <c r="AB59" s="59">
        <f t="shared" si="149"/>
        <v>2.5276707926139026</v>
      </c>
      <c r="AC59" s="60">
        <f t="shared" si="150"/>
        <v>7.17801057831542</v>
      </c>
      <c r="AD59" s="57">
        <f t="shared" si="151"/>
        <v>100.25048989836715</v>
      </c>
      <c r="AE59" s="57"/>
      <c r="AF59" s="57">
        <f t="shared" si="152"/>
        <v>49.572127911567307</v>
      </c>
      <c r="AG59" s="57">
        <f t="shared" si="153"/>
        <v>1.0100750098697195</v>
      </c>
      <c r="AH59" s="57">
        <f t="shared" si="154"/>
        <v>15.494354520331624</v>
      </c>
      <c r="AI59" s="57">
        <f t="shared" si="155"/>
        <v>9.3946782471377812</v>
      </c>
      <c r="AJ59" s="57">
        <f t="shared" si="156"/>
        <v>0.16671140939597318</v>
      </c>
      <c r="AK59" s="57">
        <f t="shared" si="157"/>
        <v>9.4535175681010646</v>
      </c>
      <c r="AL59" s="57">
        <f t="shared" si="158"/>
        <v>11.963995262534542</v>
      </c>
      <c r="AM59" s="57">
        <f t="shared" si="159"/>
        <v>2.1770548756415322</v>
      </c>
      <c r="AN59" s="57">
        <f t="shared" si="160"/>
        <v>5.883932096328464E-2</v>
      </c>
      <c r="AO59" s="57">
        <f t="shared" si="161"/>
        <v>6.8645874457165412E-2</v>
      </c>
      <c r="AP59" s="57">
        <f t="shared" si="162"/>
        <v>99.359999999999971</v>
      </c>
      <c r="AQ59" s="57"/>
      <c r="AR59" s="84">
        <f t="shared" si="163"/>
        <v>49.448265002817429</v>
      </c>
      <c r="AS59" s="85">
        <f t="shared" si="164"/>
        <v>1.0075511959031047</v>
      </c>
      <c r="AT59" s="85">
        <f t="shared" si="165"/>
        <v>15.455639704144719</v>
      </c>
      <c r="AU59" s="85">
        <f t="shared" si="166"/>
        <v>9.3712043269434417</v>
      </c>
      <c r="AV59" s="85">
        <f t="shared" si="167"/>
        <v>0.16629485757624066</v>
      </c>
      <c r="AW59" s="85">
        <f t="shared" si="168"/>
        <v>9.42989662961741</v>
      </c>
      <c r="AX59" s="85">
        <f t="shared" si="169"/>
        <v>11.93410154370668</v>
      </c>
      <c r="AY59" s="85">
        <f t="shared" si="170"/>
        <v>2.1716151989367898</v>
      </c>
      <c r="AZ59" s="85">
        <f t="shared" si="171"/>
        <v>5.869230267396728E-2</v>
      </c>
      <c r="BA59" s="85">
        <f t="shared" si="172"/>
        <v>6.8474353119628489E-2</v>
      </c>
      <c r="BB59" s="85">
        <f t="shared" si="173"/>
        <v>99.111735115439416</v>
      </c>
      <c r="BC59" s="85">
        <f t="shared" si="174"/>
        <v>2.505218380565819</v>
      </c>
      <c r="BD59" s="85">
        <f t="shared" si="175"/>
        <v>7.1142508309382002</v>
      </c>
      <c r="BE59" s="85">
        <f t="shared" si="176"/>
        <v>100</v>
      </c>
      <c r="BF59" s="84">
        <f t="shared" si="177"/>
        <v>49.766772345830745</v>
      </c>
      <c r="BG59" s="85">
        <f t="shared" si="178"/>
        <v>1.0140410586786481</v>
      </c>
      <c r="BH59" s="85">
        <f t="shared" si="179"/>
        <v>15.555192938954026</v>
      </c>
      <c r="BI59" s="85">
        <f t="shared" si="180"/>
        <v>2.5213550529044073</v>
      </c>
      <c r="BJ59" s="85">
        <f t="shared" si="181"/>
        <v>7.1600753129410233</v>
      </c>
      <c r="BK59" s="85">
        <f t="shared" si="182"/>
        <v>0.16736599997608764</v>
      </c>
      <c r="BL59" s="85">
        <f t="shared" si="183"/>
        <v>9.4906367045263789</v>
      </c>
      <c r="BM59" s="85">
        <f t="shared" si="184"/>
        <v>12.010971762989813</v>
      </c>
      <c r="BN59" s="85">
        <f t="shared" si="185"/>
        <v>2.185603058511262</v>
      </c>
      <c r="BO59" s="85">
        <f t="shared" si="186"/>
        <v>5.9070352932736797E-2</v>
      </c>
      <c r="BP59" s="85">
        <f t="shared" si="187"/>
        <v>6.8915411754859601E-2</v>
      </c>
      <c r="BQ59" s="85">
        <f t="shared" si="188"/>
        <v>99.999999999999986</v>
      </c>
      <c r="BR59" s="85"/>
      <c r="BS59" s="82">
        <f>AR59/Weights!$B$5*2+AS59/Weights!$B$7*2+AT59/Weights!$B$8*3+'Data and calc.'!BC59/Weights!$B$20*3+'Data and calc.'!BD59/Weights!$B$10+'Data and calc.'!AV59/Weights!$B$11+'Data and calc.'!AW59/Weights!$B$13+'Data and calc.'!AX59/Weights!$B$14+'Data and calc.'!AY59/Weights!$B$15+AZ59/Weights!$B$16+B59/Weights!$B$19+'Data and calc.'!BA59/Weights!$B$6*5</f>
        <v>2.7948031299218248</v>
      </c>
      <c r="BT59" s="84">
        <f>AR59/Weights!$B$5*8/'Data and calc.'!$BS59</f>
        <v>2.3557989009397531</v>
      </c>
      <c r="BU59" s="85">
        <f>AS59/Weights!$B$7*8/'Data and calc.'!$BS59</f>
        <v>3.611182132115949E-2</v>
      </c>
      <c r="BV59" s="85">
        <f>AT59/Weights!$B$8*8/'Data and calc.'!$BS59*2</f>
        <v>0.86781188171998547</v>
      </c>
      <c r="BW59" s="85">
        <f>BC59/Weights!$B$20*8/'Data and calc.'!$BS59*2</f>
        <v>8.9814155179520405E-2</v>
      </c>
      <c r="BX59" s="85">
        <f>BD59/Weights!$B$10*8/'Data and calc.'!$BS59</f>
        <v>0.28345063556289024</v>
      </c>
      <c r="BY59" s="85">
        <f>AV59/Weights!$B$11*8/'Data and calc.'!$BS59</f>
        <v>6.7103395800794498E-3</v>
      </c>
      <c r="BZ59" s="85">
        <f>AW59/Weights!$B$13*8/'Data and calc.'!$BS59</f>
        <v>0.66972659917180033</v>
      </c>
      <c r="CA59" s="85">
        <f>AX59/Weights!$B$14*8/'Data and calc.'!$BS59</f>
        <v>0.60917731599867997</v>
      </c>
      <c r="CB59" s="85">
        <f>AY59/Weights!$B$15*8/'Data and calc.'!$BS59*2</f>
        <v>0.20059047317244988</v>
      </c>
      <c r="CC59" s="85">
        <f>AZ59/Weights!$B$16*8/'Data and calc.'!$BS59*2</f>
        <v>3.5671329275055743E-3</v>
      </c>
      <c r="CD59" s="85">
        <f>BA59/Weights!$B$6*8/'Data and calc.'!$BS59*2</f>
        <v>2.7617395535567187E-3</v>
      </c>
      <c r="CE59" s="85">
        <f>B59/Weights!$B$19*8/'Data and calc.'!$BS59*2</f>
        <v>0.2033829157631932</v>
      </c>
      <c r="CF59" s="85">
        <f t="shared" si="189"/>
        <v>13.398147036641674</v>
      </c>
      <c r="CG59" s="85">
        <f t="shared" si="190"/>
        <v>0.77677994016417229</v>
      </c>
      <c r="CH59" s="85">
        <f t="shared" si="191"/>
        <v>3.9680437550941819E-2</v>
      </c>
      <c r="CI59" s="85">
        <f>AR59/Weights!$B$5*2+AS59/Weights!$B$7*2+AT59/Weights!$B$8*3+'Data and calc.'!BC59/Weights!$B$20*3+'Data and calc.'!BD59/Weights!$B$10+'Data and calc.'!AV59/Weights!$B$11+'Data and calc.'!AW59/Weights!$B$13+'Data and calc.'!AX59/Weights!$B$14+'Data and calc.'!AY59/Weights!$B$15+AZ59/Weights!$B$16+'Data and calc.'!BA59/Weights!$B$6*5</f>
        <v>2.7592771793250996</v>
      </c>
      <c r="CJ59" s="84">
        <f>AR59/Weights!$B$5*8/'Data and calc.'!$CI59</f>
        <v>2.3861300311348992</v>
      </c>
      <c r="CK59" s="85">
        <f>AS59/Weights!$B$7*8/'Data and calc.'!$CI59</f>
        <v>3.6576764382996819E-2</v>
      </c>
      <c r="CL59" s="85">
        <f>AT59/Weights!$B$8*8/'Data and calc.'!$CI59*2</f>
        <v>0.87898504049803039</v>
      </c>
      <c r="CM59" s="85">
        <f>BC59/Weights!$B$20*8/'Data and calc.'!$CI59*2</f>
        <v>9.0970520789942583E-2</v>
      </c>
      <c r="CN59" s="85">
        <f>BD59/Weights!$B$10*8/'Data and calc.'!$CI59</f>
        <v>0.28710008888750355</v>
      </c>
      <c r="CO59" s="85">
        <f>AV59/Weights!$B$11*8/'Data and calc.'!$CI59</f>
        <v>6.7967358269644621E-3</v>
      </c>
      <c r="CP59" s="85">
        <f>AW59/Weights!$B$13*8/'Data and calc.'!$CI59</f>
        <v>0.67834939149355955</v>
      </c>
      <c r="CQ59" s="85">
        <f>AX59/Weights!$B$14*8/'Data and calc.'!$CI59</f>
        <v>0.61702053066191576</v>
      </c>
      <c r="CR59" s="85">
        <f>AY59/Weights!$B$15*8/'Data and calc.'!$CI59*2</f>
        <v>0.20317309419127816</v>
      </c>
      <c r="CS59" s="85">
        <f>AZ59/Weights!$B$16*8/'Data and calc.'!$CI59*2</f>
        <v>3.6130600960785813E-3</v>
      </c>
      <c r="CT59" s="85">
        <f>BA59/Weights!$B$6*8/'Data and calc.'!$CI59*2</f>
        <v>2.7972972074509447E-3</v>
      </c>
      <c r="CU59" s="85">
        <f t="shared" si="192"/>
        <v>7.9999999999999991</v>
      </c>
      <c r="CV59" s="85">
        <f t="shared" si="193"/>
        <v>13.570649427223476</v>
      </c>
      <c r="CW59" s="85">
        <f t="shared" si="194"/>
        <v>0.71606022565231475</v>
      </c>
      <c r="CX59" s="113"/>
      <c r="CY59" s="90">
        <f t="shared" si="88"/>
        <v>7.4156351183135901E-3</v>
      </c>
      <c r="CZ59" s="91">
        <f t="shared" si="195"/>
        <v>0.73610482702530999</v>
      </c>
      <c r="DA59" s="85">
        <f t="shared" si="135"/>
        <v>9.610482702530998E-2</v>
      </c>
      <c r="DB59" s="85">
        <f t="shared" si="136"/>
        <v>9.610482702530998E-2</v>
      </c>
      <c r="DC59" s="85">
        <f t="shared" si="196"/>
        <v>9.2361377775647523E-3</v>
      </c>
      <c r="DD59" s="117"/>
      <c r="DE59" s="97"/>
      <c r="DF59" s="91">
        <f t="shared" si="138"/>
        <v>0.727810692923617</v>
      </c>
      <c r="DG59" s="85">
        <f t="shared" si="139"/>
        <v>8.7810692923616984E-2</v>
      </c>
      <c r="DH59" s="85">
        <f t="shared" si="140"/>
        <v>8.7810692923616984E-2</v>
      </c>
      <c r="DI59" s="85">
        <f t="shared" si="197"/>
        <v>7.7107177917257576E-3</v>
      </c>
      <c r="DK59" s="117"/>
      <c r="DL59" s="99">
        <f>'Eq. 3 coef.'!$B$15+'Eq. 3 coef.'!$B$16*'Data and calc.'!G59^2+'Eq. 3 coef.'!$B$17*'Data and calc.'!G59+'Eq. 3 coef.'!$B$18*'Data and calc.'!BF59+'Eq. 3 coef.'!$B$19*'Data and calc.'!BG59+'Eq. 3 coef.'!$B$20*'Data and calc.'!BH59+'Eq. 3 coef.'!$B$21*'Data and calc.'!BI59+'Eq. 3 coef.'!$B$22*'Data and calc.'!BJ59+'Eq. 3 coef.'!$B$23*'Data and calc.'!BK59+'Eq. 3 coef.'!$B$24*'Data and calc.'!BL59+'Eq. 3 coef.'!$B$25*'Data and calc.'!BM59+'Eq. 3 coef.'!$B$26*'Data and calc.'!BN59+'Eq. 3 coef.'!$B$27*'Data and calc.'!BO59+'Eq. 3 coef.'!$B$28*'Data and calc.'!BP59</f>
        <v>0.61380552756281759</v>
      </c>
      <c r="DM59" s="85">
        <f t="shared" si="198"/>
        <v>-2.6194472437182426E-2</v>
      </c>
      <c r="DN59" s="85">
        <f t="shared" si="143"/>
        <v>2.6194472437182426E-2</v>
      </c>
      <c r="DO59" s="85">
        <f t="shared" si="33"/>
        <v>6.8615038626230985E-4</v>
      </c>
      <c r="DP59" s="117"/>
      <c r="DQ59" s="99">
        <f>'Eq. 4 coef.'!$B$15+'Eq. 4 coef.'!$B$16*'Data and calc.'!G59^2+'Eq. 4 coef.'!$B$17*'Data and calc.'!G59+'Eq. 4 coef.'!$B$18*'Data and calc.'!O59+'Eq. 4 coef.'!$B$19*'Data and calc.'!P59+'Eq. 4 coef.'!$B$20*'Data and calc.'!Q59+'Eq. 4 coef.'!$B$21*'Data and calc.'!R59+'Eq. 4 coef.'!$B$22*'Data and calc.'!S59+'Eq. 4 coef.'!$B$23*'Data and calc.'!T59+'Eq. 4 coef.'!$B$24*'Data and calc.'!U59+'Eq. 4 coef.'!$B$25*'Data and calc.'!V59+'Eq. 4 coef.'!$B$26*'Data and calc.'!W59+'Eq. 4 coef.'!$B$27*'Data and calc.'!X59</f>
        <v>0.64266382025880375</v>
      </c>
      <c r="DR59" s="85">
        <f t="shared" si="199"/>
        <v>2.6638202588037396E-3</v>
      </c>
      <c r="DS59" s="85">
        <f t="shared" si="145"/>
        <v>2.6638202588037396E-3</v>
      </c>
      <c r="DT59" s="85">
        <f t="shared" si="200"/>
        <v>7.0959383712132224E-6</v>
      </c>
    </row>
    <row r="60" spans="1:125" ht="15" x14ac:dyDescent="0.2">
      <c r="A60" s="66" t="s">
        <v>584</v>
      </c>
      <c r="B60" s="73">
        <v>0.7</v>
      </c>
      <c r="C60" s="73">
        <v>3.4999999999999996E-2</v>
      </c>
      <c r="D60" s="126">
        <f t="shared" si="111"/>
        <v>5</v>
      </c>
      <c r="E60" s="72">
        <f t="shared" si="112"/>
        <v>7.0493454179254783E-3</v>
      </c>
      <c r="F60" s="64">
        <f t="shared" si="113"/>
        <v>1.7984663789093411</v>
      </c>
      <c r="G60" s="73">
        <v>1.3410691178717602</v>
      </c>
      <c r="H60" s="73">
        <v>5.3276742743066118E-2</v>
      </c>
      <c r="I60" s="126">
        <f t="shared" si="106"/>
        <v>3.9727067034109953</v>
      </c>
      <c r="J60" s="70">
        <v>1210</v>
      </c>
      <c r="K60" s="70">
        <v>204</v>
      </c>
      <c r="L60" s="73">
        <v>5.5142059302556751E-2</v>
      </c>
      <c r="M60" s="70">
        <v>2.6</v>
      </c>
      <c r="N60" s="64">
        <f t="shared" si="147"/>
        <v>8.2965961952166545E-2</v>
      </c>
      <c r="O60" s="76">
        <v>49.891433083300427</v>
      </c>
      <c r="P60" s="73">
        <v>1.0165811290959335</v>
      </c>
      <c r="Q60" s="73">
        <v>15.594157125937624</v>
      </c>
      <c r="R60" s="73">
        <v>9.4551914725621788</v>
      </c>
      <c r="S60" s="73">
        <v>0.16778523489932889</v>
      </c>
      <c r="T60" s="73">
        <v>9.5144097907619418</v>
      </c>
      <c r="U60" s="73">
        <v>12.041058033951835</v>
      </c>
      <c r="V60" s="73">
        <v>2.1910777733912359</v>
      </c>
      <c r="W60" s="73">
        <v>5.9218318199763122E-2</v>
      </c>
      <c r="X60" s="73">
        <v>6.9088037899723648E-2</v>
      </c>
      <c r="Y60" s="73">
        <f t="shared" si="148"/>
        <v>99.999999999999986</v>
      </c>
      <c r="Z60" s="73">
        <v>2.2502960915909989</v>
      </c>
      <c r="AA60" s="73">
        <v>0.38201283048983764</v>
      </c>
      <c r="AB60" s="59">
        <f t="shared" si="149"/>
        <v>2.6871920037301686</v>
      </c>
      <c r="AC60" s="60">
        <f t="shared" si="150"/>
        <v>7.034297775507973</v>
      </c>
      <c r="AD60" s="57">
        <f t="shared" si="151"/>
        <v>100.26629830667596</v>
      </c>
      <c r="AE60" s="57"/>
      <c r="AF60" s="57">
        <f t="shared" si="152"/>
        <v>49.542193051717319</v>
      </c>
      <c r="AG60" s="57">
        <f t="shared" si="153"/>
        <v>1.0094650611922618</v>
      </c>
      <c r="AH60" s="57">
        <f t="shared" si="154"/>
        <v>15.48499802605606</v>
      </c>
      <c r="AI60" s="57">
        <f t="shared" si="155"/>
        <v>9.389005132254244</v>
      </c>
      <c r="AJ60" s="57">
        <f t="shared" si="156"/>
        <v>0.16661073825503359</v>
      </c>
      <c r="AK60" s="57">
        <f t="shared" si="157"/>
        <v>9.4478089222266082</v>
      </c>
      <c r="AL60" s="57">
        <f t="shared" si="158"/>
        <v>11.956770627714173</v>
      </c>
      <c r="AM60" s="57">
        <f t="shared" si="159"/>
        <v>2.1757402289774972</v>
      </c>
      <c r="AN60" s="57">
        <f t="shared" si="160"/>
        <v>5.8803789972364774E-2</v>
      </c>
      <c r="AO60" s="57">
        <f t="shared" si="161"/>
        <v>6.860442163442558E-2</v>
      </c>
      <c r="AP60" s="57">
        <f t="shared" si="162"/>
        <v>99.299999999999983</v>
      </c>
      <c r="AQ60" s="57"/>
      <c r="AR60" s="84">
        <f t="shared" si="163"/>
        <v>49.410613424848741</v>
      </c>
      <c r="AS60" s="85">
        <f t="shared" si="164"/>
        <v>1.0067840124153156</v>
      </c>
      <c r="AT60" s="85">
        <f t="shared" si="165"/>
        <v>15.443871258409699</v>
      </c>
      <c r="AU60" s="85">
        <f t="shared" si="166"/>
        <v>9.3640687756686649</v>
      </c>
      <c r="AV60" s="85">
        <f t="shared" si="167"/>
        <v>0.16616823505883857</v>
      </c>
      <c r="AW60" s="85">
        <f t="shared" si="168"/>
        <v>9.4227163880423728</v>
      </c>
      <c r="AX60" s="85">
        <f t="shared" si="169"/>
        <v>11.925014515987236</v>
      </c>
      <c r="AY60" s="85">
        <f t="shared" si="170"/>
        <v>2.1699616578271859</v>
      </c>
      <c r="AZ60" s="85">
        <f t="shared" si="171"/>
        <v>5.8647612373707712E-2</v>
      </c>
      <c r="BA60" s="85">
        <f t="shared" si="172"/>
        <v>6.8422214435992335E-2</v>
      </c>
      <c r="BB60" s="85">
        <f t="shared" si="173"/>
        <v>99.036268095067769</v>
      </c>
      <c r="BC60" s="85">
        <f t="shared" si="174"/>
        <v>2.6612946770434331</v>
      </c>
      <c r="BD60" s="85">
        <f t="shared" si="175"/>
        <v>6.9665060035574635</v>
      </c>
      <c r="BE60" s="85">
        <f t="shared" si="176"/>
        <v>100</v>
      </c>
      <c r="BF60" s="84">
        <f t="shared" si="177"/>
        <v>49.75892590619209</v>
      </c>
      <c r="BG60" s="85">
        <f t="shared" si="178"/>
        <v>1.0138811806800763</v>
      </c>
      <c r="BH60" s="85">
        <f t="shared" si="179"/>
        <v>15.552740441500202</v>
      </c>
      <c r="BI60" s="85">
        <f t="shared" si="180"/>
        <v>2.6800550624807986</v>
      </c>
      <c r="BJ60" s="85">
        <f t="shared" si="181"/>
        <v>7.015615310732592</v>
      </c>
      <c r="BK60" s="85">
        <f t="shared" si="182"/>
        <v>0.16733961234525538</v>
      </c>
      <c r="BL60" s="85">
        <f t="shared" si="183"/>
        <v>9.4891403706368305</v>
      </c>
      <c r="BM60" s="85">
        <f t="shared" si="184"/>
        <v>12.009078062424207</v>
      </c>
      <c r="BN60" s="85">
        <f t="shared" si="185"/>
        <v>2.185258467096864</v>
      </c>
      <c r="BO60" s="85">
        <f t="shared" si="186"/>
        <v>5.9061039651266585E-2</v>
      </c>
      <c r="BP60" s="85">
        <f t="shared" si="187"/>
        <v>6.8904546259811017E-2</v>
      </c>
      <c r="BQ60" s="85">
        <f t="shared" si="188"/>
        <v>100.00000000000001</v>
      </c>
      <c r="BR60" s="85"/>
      <c r="BS60" s="82">
        <f>AR60/Weights!$B$5*2+AS60/Weights!$B$7*2+AT60/Weights!$B$8*3+'Data and calc.'!BC60/Weights!$B$20*3+'Data and calc.'!BD60/Weights!$B$10+'Data and calc.'!AV60/Weights!$B$11+'Data and calc.'!AW60/Weights!$B$13+'Data and calc.'!AX60/Weights!$B$14+'Data and calc.'!AY60/Weights!$B$15+AZ60/Weights!$B$16+B60/Weights!$B$19+'Data and calc.'!BA60/Weights!$B$6*5</f>
        <v>2.7970196171725892</v>
      </c>
      <c r="BT60" s="84">
        <f>AR60/Weights!$B$5*8/'Data and calc.'!$BS60</f>
        <v>2.3521396939998507</v>
      </c>
      <c r="BU60" s="85">
        <f>AS60/Weights!$B$7*8/'Data and calc.'!$BS60</f>
        <v>3.6055729679747232E-2</v>
      </c>
      <c r="BV60" s="85">
        <f>AT60/Weights!$B$8*8/'Data and calc.'!$BS60*2</f>
        <v>0.86646392996618649</v>
      </c>
      <c r="BW60" s="85">
        <f>BC60/Weights!$B$20*8/'Data and calc.'!$BS60*2</f>
        <v>9.5334012778912042E-2</v>
      </c>
      <c r="BX60" s="85">
        <f>BD60/Weights!$B$10*8/'Data and calc.'!$BS60</f>
        <v>0.27734413492298554</v>
      </c>
      <c r="BY60" s="85">
        <f>AV60/Weights!$B$11*8/'Data and calc.'!$BS60</f>
        <v>6.6999165676776993E-3</v>
      </c>
      <c r="BZ60" s="85">
        <f>AW60/Weights!$B$13*8/'Data and calc.'!$BS60</f>
        <v>0.66868632862130928</v>
      </c>
      <c r="CA60" s="85">
        <f>AX60/Weights!$B$14*8/'Data and calc.'!$BS60</f>
        <v>0.60823109522344987</v>
      </c>
      <c r="CB60" s="85">
        <f>AY60/Weights!$B$15*8/'Data and calc.'!$BS60*2</f>
        <v>0.20027890071555721</v>
      </c>
      <c r="CC60" s="85">
        <f>AZ60/Weights!$B$16*8/'Data and calc.'!$BS60*2</f>
        <v>3.5615921839562519E-3</v>
      </c>
      <c r="CD60" s="85">
        <f>BA60/Weights!$B$6*8/'Data and calc.'!$BS60*2</f>
        <v>2.757449808563398E-3</v>
      </c>
      <c r="CE60" s="85">
        <f>B60/Weights!$B$19*8/'Data and calc.'!$BS60*2</f>
        <v>0.22227378443314097</v>
      </c>
      <c r="CF60" s="85">
        <f t="shared" si="189"/>
        <v>13.399973465698784</v>
      </c>
      <c r="CG60" s="85">
        <f t="shared" si="190"/>
        <v>0.77612886054043539</v>
      </c>
      <c r="CH60" s="85">
        <f t="shared" si="191"/>
        <v>4.343360856144822E-2</v>
      </c>
      <c r="CI60" s="85">
        <f>AR60/Weights!$B$5*2+AS60/Weights!$B$7*2+AT60/Weights!$B$8*3+'Data and calc.'!BC60/Weights!$B$20*3+'Data and calc.'!BD60/Weights!$B$10+'Data and calc.'!AV60/Weights!$B$11+'Data and calc.'!AW60/Weights!$B$13+'Data and calc.'!AX60/Weights!$B$14+'Data and calc.'!AY60/Weights!$B$15+AZ60/Weights!$B$16+'Data and calc.'!BA60/Weights!$B$6*5</f>
        <v>2.7581631087074214</v>
      </c>
      <c r="CJ60" s="84">
        <f>AR60/Weights!$B$5*8/'Data and calc.'!$CI60</f>
        <v>2.3852762172325153</v>
      </c>
      <c r="CK60" s="85">
        <f>AS60/Weights!$B$7*8/'Data and calc.'!$CI60</f>
        <v>3.6563676349433298E-2</v>
      </c>
      <c r="CL60" s="85">
        <f>AT60/Weights!$B$8*8/'Data and calc.'!$CI60*2</f>
        <v>0.87867051880903102</v>
      </c>
      <c r="CM60" s="85">
        <f>BC60/Weights!$B$20*8/'Data and calc.'!$CI60*2</f>
        <v>9.6677061296553263E-2</v>
      </c>
      <c r="CN60" s="85">
        <f>BD60/Weights!$B$10*8/'Data and calc.'!$CI60</f>
        <v>0.28125130948143651</v>
      </c>
      <c r="CO60" s="85">
        <f>AV60/Weights!$B$11*8/'Data and calc.'!$CI60</f>
        <v>6.794303793728986E-3</v>
      </c>
      <c r="CP60" s="85">
        <f>AW60/Weights!$B$13*8/'Data and calc.'!$CI60</f>
        <v>0.67810666199702196</v>
      </c>
      <c r="CQ60" s="85">
        <f>AX60/Weights!$B$14*8/'Data and calc.'!$CI60</f>
        <v>0.61679974608594501</v>
      </c>
      <c r="CR60" s="85">
        <f>AY60/Weights!$B$15*8/'Data and calc.'!$CI60*2</f>
        <v>0.2031003940407636</v>
      </c>
      <c r="CS60" s="85">
        <f>AZ60/Weights!$B$16*8/'Data and calc.'!$CI60*2</f>
        <v>3.6117672575073684E-3</v>
      </c>
      <c r="CT60" s="85">
        <f>BA60/Weights!$B$6*8/'Data and calc.'!$CI60*2</f>
        <v>2.7962962681837397E-3</v>
      </c>
      <c r="CU60" s="85">
        <f t="shared" si="192"/>
        <v>8.0000000000000018</v>
      </c>
      <c r="CV60" s="85">
        <f t="shared" si="193"/>
        <v>13.588749894750132</v>
      </c>
      <c r="CW60" s="85">
        <f t="shared" si="194"/>
        <v>0.70977834574214338</v>
      </c>
      <c r="CX60" s="113"/>
      <c r="CY60" s="90">
        <f t="shared" si="88"/>
        <v>7.8766051048758546E-3</v>
      </c>
      <c r="CZ60" s="91">
        <f t="shared" si="195"/>
        <v>0.78150490496366321</v>
      </c>
      <c r="DA60" s="85">
        <f t="shared" si="135"/>
        <v>8.1504904963663249E-2</v>
      </c>
      <c r="DB60" s="85">
        <f t="shared" si="136"/>
        <v>8.1504904963663249E-2</v>
      </c>
      <c r="DC60" s="85">
        <f t="shared" si="196"/>
        <v>6.6430495331357784E-3</v>
      </c>
      <c r="DD60" s="117"/>
      <c r="DE60" s="97"/>
      <c r="DF60" s="91">
        <f t="shared" si="138"/>
        <v>0.77384118339645314</v>
      </c>
      <c r="DG60" s="85">
        <f t="shared" si="139"/>
        <v>7.3841183396453181E-2</v>
      </c>
      <c r="DH60" s="85">
        <f t="shared" si="140"/>
        <v>7.3841183396453181E-2</v>
      </c>
      <c r="DI60" s="85">
        <f t="shared" si="197"/>
        <v>5.4525203653886332E-3</v>
      </c>
      <c r="DK60" s="117"/>
      <c r="DL60" s="99">
        <f>'Eq. 3 coef.'!$B$15+'Eq. 3 coef.'!$B$16*'Data and calc.'!G60^2+'Eq. 3 coef.'!$B$17*'Data and calc.'!G60+'Eq. 3 coef.'!$B$18*'Data and calc.'!BF60+'Eq. 3 coef.'!$B$19*'Data and calc.'!BG60+'Eq. 3 coef.'!$B$20*'Data and calc.'!BH60+'Eq. 3 coef.'!$B$21*'Data and calc.'!BI60+'Eq. 3 coef.'!$B$22*'Data and calc.'!BJ60+'Eq. 3 coef.'!$B$23*'Data and calc.'!BK60+'Eq. 3 coef.'!$B$24*'Data and calc.'!BL60+'Eq. 3 coef.'!$B$25*'Data and calc.'!BM60+'Eq. 3 coef.'!$B$26*'Data and calc.'!BN60+'Eq. 3 coef.'!$B$27*'Data and calc.'!BO60+'Eq. 3 coef.'!$B$28*'Data and calc.'!BP60</f>
        <v>0.65663038520995087</v>
      </c>
      <c r="DM60" s="85">
        <f t="shared" si="198"/>
        <v>-4.3369614790049082E-2</v>
      </c>
      <c r="DN60" s="85">
        <f t="shared" si="143"/>
        <v>4.3369614790049082E-2</v>
      </c>
      <c r="DO60" s="85">
        <f t="shared" si="33"/>
        <v>1.8809234870372441E-3</v>
      </c>
      <c r="DP60" s="117"/>
      <c r="DQ60" s="99">
        <f>'Eq. 4 coef.'!$B$15+'Eq. 4 coef.'!$B$16*'Data and calc.'!G60^2+'Eq. 4 coef.'!$B$17*'Data and calc.'!G60+'Eq. 4 coef.'!$B$18*'Data and calc.'!O60+'Eq. 4 coef.'!$B$19*'Data and calc.'!P60+'Eq. 4 coef.'!$B$20*'Data and calc.'!Q60+'Eq. 4 coef.'!$B$21*'Data and calc.'!R60+'Eq. 4 coef.'!$B$22*'Data and calc.'!S60+'Eq. 4 coef.'!$B$23*'Data and calc.'!T60+'Eq. 4 coef.'!$B$24*'Data and calc.'!U60+'Eq. 4 coef.'!$B$25*'Data and calc.'!V60+'Eq. 4 coef.'!$B$26*'Data and calc.'!W60+'Eq. 4 coef.'!$B$27*'Data and calc.'!X60</f>
        <v>0.68824837091005975</v>
      </c>
      <c r="DR60" s="85">
        <f t="shared" si="199"/>
        <v>-1.1751629089940208E-2</v>
      </c>
      <c r="DS60" s="85">
        <f t="shared" si="145"/>
        <v>1.1751629089940208E-2</v>
      </c>
      <c r="DT60" s="85">
        <f t="shared" si="200"/>
        <v>1.3810078626752892E-4</v>
      </c>
    </row>
    <row r="61" spans="1:125" ht="15" x14ac:dyDescent="0.2">
      <c r="A61" s="66" t="s">
        <v>585</v>
      </c>
      <c r="B61" s="73">
        <v>0.54</v>
      </c>
      <c r="C61" s="73">
        <v>2.7000000000000003E-2</v>
      </c>
      <c r="D61" s="126">
        <f t="shared" si="111"/>
        <v>5</v>
      </c>
      <c r="E61" s="72">
        <f t="shared" si="112"/>
        <v>5.4293183189221801E-3</v>
      </c>
      <c r="F61" s="64">
        <f t="shared" si="113"/>
        <v>1.3288573484117374</v>
      </c>
      <c r="G61" s="73">
        <v>1.1527607507248576</v>
      </c>
      <c r="H61" s="73">
        <v>5.2186469585215597E-2</v>
      </c>
      <c r="I61" s="126">
        <f t="shared" si="106"/>
        <v>4.5270859154773158</v>
      </c>
      <c r="J61" s="70">
        <v>1230</v>
      </c>
      <c r="K61" s="70">
        <v>204</v>
      </c>
      <c r="L61" s="73">
        <v>3.4377341112767877E-2</v>
      </c>
      <c r="M61" s="70">
        <v>2.6</v>
      </c>
      <c r="N61" s="64">
        <f t="shared" si="147"/>
        <v>-0.3274554330005488</v>
      </c>
      <c r="O61" s="76">
        <v>49.891433083300427</v>
      </c>
      <c r="P61" s="73">
        <v>1.0165811290959335</v>
      </c>
      <c r="Q61" s="73">
        <v>15.594157125937624</v>
      </c>
      <c r="R61" s="73">
        <v>9.4551914725621788</v>
      </c>
      <c r="S61" s="73">
        <v>0.16778523489932889</v>
      </c>
      <c r="T61" s="73">
        <v>9.5144097907619418</v>
      </c>
      <c r="U61" s="73">
        <v>12.041058033951835</v>
      </c>
      <c r="V61" s="73">
        <v>2.1910777733912359</v>
      </c>
      <c r="W61" s="73">
        <v>5.9218318199763122E-2</v>
      </c>
      <c r="X61" s="73">
        <v>6.9088037899723648E-2</v>
      </c>
      <c r="Y61" s="73">
        <f t="shared" si="148"/>
        <v>99.999999999999986</v>
      </c>
      <c r="Z61" s="73">
        <v>2.2502960915909989</v>
      </c>
      <c r="AA61" s="73">
        <v>0.29555221328474318</v>
      </c>
      <c r="AB61" s="59">
        <f t="shared" si="149"/>
        <v>2.2068892509086258</v>
      </c>
      <c r="AC61" s="60">
        <f t="shared" si="150"/>
        <v>7.4670029582300836</v>
      </c>
      <c r="AD61" s="57">
        <f t="shared" si="151"/>
        <v>100.21870073657654</v>
      </c>
      <c r="AE61" s="57"/>
      <c r="AF61" s="57">
        <f t="shared" si="152"/>
        <v>49.622019344650596</v>
      </c>
      <c r="AG61" s="57">
        <f t="shared" si="153"/>
        <v>1.0110915909988154</v>
      </c>
      <c r="AH61" s="57">
        <f t="shared" si="154"/>
        <v>15.50994867745756</v>
      </c>
      <c r="AI61" s="57">
        <f t="shared" si="155"/>
        <v>9.4041334386103426</v>
      </c>
      <c r="AJ61" s="57">
        <f t="shared" si="156"/>
        <v>0.1668791946308725</v>
      </c>
      <c r="AK61" s="57">
        <f t="shared" si="157"/>
        <v>9.463031977891827</v>
      </c>
      <c r="AL61" s="57">
        <f t="shared" si="158"/>
        <v>11.976036320568493</v>
      </c>
      <c r="AM61" s="57">
        <f t="shared" si="159"/>
        <v>2.1792459534149229</v>
      </c>
      <c r="AN61" s="57">
        <f t="shared" si="160"/>
        <v>5.8898539281484391E-2</v>
      </c>
      <c r="AO61" s="57">
        <f t="shared" si="161"/>
        <v>6.8714962495065132E-2</v>
      </c>
      <c r="AP61" s="57">
        <f t="shared" si="162"/>
        <v>99.45999999999998</v>
      </c>
      <c r="AQ61" s="57"/>
      <c r="AR61" s="84">
        <f t="shared" si="163"/>
        <v>49.51373244708229</v>
      </c>
      <c r="AS61" s="85">
        <f t="shared" si="164"/>
        <v>1.0088851517407471</v>
      </c>
      <c r="AT61" s="85">
        <f t="shared" si="165"/>
        <v>15.476102327673599</v>
      </c>
      <c r="AU61" s="85">
        <f t="shared" si="166"/>
        <v>9.3836114113362701</v>
      </c>
      <c r="AV61" s="85">
        <f t="shared" si="167"/>
        <v>0.1665150250445894</v>
      </c>
      <c r="AW61" s="85">
        <f t="shared" si="168"/>
        <v>9.4423814201755381</v>
      </c>
      <c r="AX61" s="85">
        <f t="shared" si="169"/>
        <v>11.949901797317587</v>
      </c>
      <c r="AY61" s="85">
        <f t="shared" si="170"/>
        <v>2.1744903270528728</v>
      </c>
      <c r="AZ61" s="85">
        <f t="shared" si="171"/>
        <v>5.8770008839266821E-2</v>
      </c>
      <c r="BA61" s="85">
        <f t="shared" si="172"/>
        <v>6.856501031247797E-2</v>
      </c>
      <c r="BB61" s="85">
        <f t="shared" si="173"/>
        <v>99.242954926575237</v>
      </c>
      <c r="BC61" s="85">
        <f t="shared" si="174"/>
        <v>2.1901821045586818</v>
      </c>
      <c r="BD61" s="85">
        <f t="shared" si="175"/>
        <v>7.4104743802023227</v>
      </c>
      <c r="BE61" s="85">
        <f t="shared" si="176"/>
        <v>99.999999999999972</v>
      </c>
      <c r="BF61" s="84">
        <f t="shared" si="177"/>
        <v>49.782558261695449</v>
      </c>
      <c r="BG61" s="85">
        <f t="shared" si="178"/>
        <v>1.0143627103767818</v>
      </c>
      <c r="BH61" s="85">
        <f t="shared" si="179"/>
        <v>15.560127013546753</v>
      </c>
      <c r="BI61" s="85">
        <f t="shared" si="180"/>
        <v>2.202073300380738</v>
      </c>
      <c r="BJ61" s="85">
        <f t="shared" si="181"/>
        <v>7.4507082045066584</v>
      </c>
      <c r="BK61" s="85">
        <f t="shared" si="182"/>
        <v>0.16741908812043979</v>
      </c>
      <c r="BL61" s="85">
        <f t="shared" si="183"/>
        <v>9.4936471145943493</v>
      </c>
      <c r="BM61" s="85">
        <f t="shared" si="184"/>
        <v>12.014781618055085</v>
      </c>
      <c r="BN61" s="85">
        <f t="shared" si="185"/>
        <v>2.1862963272198601</v>
      </c>
      <c r="BO61" s="85">
        <f t="shared" si="186"/>
        <v>5.9089089924861074E-2</v>
      </c>
      <c r="BP61" s="85">
        <f t="shared" si="187"/>
        <v>6.8937271579004603E-2</v>
      </c>
      <c r="BQ61" s="85">
        <f t="shared" si="188"/>
        <v>99.999999999999972</v>
      </c>
      <c r="BR61" s="85"/>
      <c r="BS61" s="82">
        <f>AR61/Weights!$B$5*2+AS61/Weights!$B$7*2+AT61/Weights!$B$8*3+'Data and calc.'!BC61/Weights!$B$20*3+'Data and calc.'!BD61/Weights!$B$10+'Data and calc.'!AV61/Weights!$B$11+'Data and calc.'!AW61/Weights!$B$13+'Data and calc.'!AX61/Weights!$B$14+'Data and calc.'!AY61/Weights!$B$15+AZ61/Weights!$B$16+B61/Weights!$B$19+'Data and calc.'!BA61/Weights!$B$6*5</f>
        <v>2.7909165943497776</v>
      </c>
      <c r="BT61" s="84">
        <f>AR61/Weights!$B$5*8/'Data and calc.'!$BS61</f>
        <v>2.3622028294585626</v>
      </c>
      <c r="BU61" s="85">
        <f>AS61/Weights!$B$7*8/'Data and calc.'!$BS61</f>
        <v>3.6209986543298149E-2</v>
      </c>
      <c r="BV61" s="85">
        <f>AT61/Weights!$B$8*8/'Data and calc.'!$BS61*2</f>
        <v>0.8701709138326551</v>
      </c>
      <c r="BW61" s="85">
        <f>BC61/Weights!$B$20*8/'Data and calc.'!$BS61*2</f>
        <v>7.8629187658666083E-2</v>
      </c>
      <c r="BX61" s="85">
        <f>BD61/Weights!$B$10*8/'Data and calc.'!$BS61</f>
        <v>0.2956641272404632</v>
      </c>
      <c r="BY61" s="85">
        <f>AV61/Weights!$B$11*8/'Data and calc.'!$BS61</f>
        <v>6.7285807529531743E-3</v>
      </c>
      <c r="BZ61" s="85">
        <f>AW61/Weights!$B$13*8/'Data and calc.'!$BS61</f>
        <v>0.67154716257665259</v>
      </c>
      <c r="CA61" s="85">
        <f>AX61/Weights!$B$14*8/'Data and calc.'!$BS61</f>
        <v>0.61083328416530902</v>
      </c>
      <c r="CB61" s="85">
        <f>AY61/Weights!$B$15*8/'Data and calc.'!$BS61*2</f>
        <v>0.20113575191047722</v>
      </c>
      <c r="CC61" s="85">
        <f>AZ61/Weights!$B$16*8/'Data and calc.'!$BS61*2</f>
        <v>3.5768297077679837E-3</v>
      </c>
      <c r="CD61" s="85">
        <f>BA61/Weights!$B$6*8/'Data and calc.'!$BS61*2</f>
        <v>2.7692469781851509E-3</v>
      </c>
      <c r="CE61" s="85">
        <f>B61/Weights!$B$19*8/'Data and calc.'!$BS61*2</f>
        <v>0.17184330553866775</v>
      </c>
      <c r="CF61" s="85">
        <f t="shared" si="189"/>
        <v>13.388851669972729</v>
      </c>
      <c r="CG61" s="85">
        <f t="shared" si="190"/>
        <v>0.78009627543587234</v>
      </c>
      <c r="CH61" s="85">
        <f t="shared" si="191"/>
        <v>3.3436011053028139E-2</v>
      </c>
      <c r="CI61" s="85">
        <f>AR61/Weights!$B$5*2+AS61/Weights!$B$7*2+AT61/Weights!$B$8*3+'Data and calc.'!BC61/Weights!$B$20*3+'Data and calc.'!BD61/Weights!$B$10+'Data and calc.'!AV61/Weights!$B$11+'Data and calc.'!AW61/Weights!$B$13+'Data and calc.'!AX61/Weights!$B$14+'Data and calc.'!AY61/Weights!$B$15+AZ61/Weights!$B$16+'Data and calc.'!BA61/Weights!$B$6*5</f>
        <v>2.760941573533791</v>
      </c>
      <c r="CJ61" s="84">
        <f>AR61/Weights!$B$5*8/'Data and calc.'!$CI61</f>
        <v>2.3878488190960669</v>
      </c>
      <c r="CK61" s="85">
        <f>AS61/Weights!$B$7*8/'Data and calc.'!$CI61</f>
        <v>3.6603111523118979E-2</v>
      </c>
      <c r="CL61" s="85">
        <f>AT61/Weights!$B$8*8/'Data and calc.'!$CI61*2</f>
        <v>0.87961819497240601</v>
      </c>
      <c r="CM61" s="85">
        <f>BC61/Weights!$B$20*8/'Data and calc.'!$CI61*2</f>
        <v>7.9482849887307874E-2</v>
      </c>
      <c r="CN61" s="85">
        <f>BD61/Weights!$B$10*8/'Data and calc.'!$CI61</f>
        <v>0.29887409678618959</v>
      </c>
      <c r="CO61" s="85">
        <f>AV61/Weights!$B$11*8/'Data and calc.'!$CI61</f>
        <v>6.8016316824133271E-3</v>
      </c>
      <c r="CP61" s="85">
        <f>AW61/Weights!$B$13*8/'Data and calc.'!$CI61</f>
        <v>0.6788380231910579</v>
      </c>
      <c r="CQ61" s="85">
        <f>AX61/Weights!$B$14*8/'Data and calc.'!$CI61</f>
        <v>0.61746498567738317</v>
      </c>
      <c r="CR61" s="85">
        <f>AY61/Weights!$B$15*8/'Data and calc.'!$CI61*2</f>
        <v>0.20331944475213304</v>
      </c>
      <c r="CS61" s="85">
        <f>AZ61/Weights!$B$16*8/'Data and calc.'!$CI61*2</f>
        <v>3.6156626718456542E-3</v>
      </c>
      <c r="CT61" s="85">
        <f>BA61/Weights!$B$6*8/'Data and calc.'!$CI61*2</f>
        <v>2.7993121692096259E-3</v>
      </c>
      <c r="CU61" s="85">
        <f t="shared" si="192"/>
        <v>7.9999999999999991</v>
      </c>
      <c r="CV61" s="85">
        <f t="shared" si="193"/>
        <v>13.534211901915599</v>
      </c>
      <c r="CW61" s="85">
        <f t="shared" si="194"/>
        <v>0.72875705388812462</v>
      </c>
      <c r="CX61" s="113"/>
      <c r="CY61" s="90">
        <f t="shared" si="88"/>
        <v>6.2552700637410232E-3</v>
      </c>
      <c r="CZ61" s="91">
        <f t="shared" si="195"/>
        <v>0.62163848973877023</v>
      </c>
      <c r="DA61" s="85">
        <f t="shared" si="135"/>
        <v>8.1638489738770192E-2</v>
      </c>
      <c r="DB61" s="85">
        <f t="shared" si="136"/>
        <v>8.1638489738770192E-2</v>
      </c>
      <c r="DC61" s="85">
        <f t="shared" si="196"/>
        <v>6.6648430068272863E-3</v>
      </c>
      <c r="DD61" s="117"/>
      <c r="DE61" s="97"/>
      <c r="DF61" s="91">
        <f t="shared" si="138"/>
        <v>0.61172309706228201</v>
      </c>
      <c r="DG61" s="85">
        <f t="shared" si="139"/>
        <v>7.1723097062281971E-2</v>
      </c>
      <c r="DH61" s="85">
        <f t="shared" si="140"/>
        <v>7.1723097062281971E-2</v>
      </c>
      <c r="DI61" s="85">
        <f t="shared" si="197"/>
        <v>5.144202652205521E-3</v>
      </c>
      <c r="DK61" s="117"/>
      <c r="DL61" s="99">
        <f>'Eq. 3 coef.'!$B$15+'Eq. 3 coef.'!$B$16*'Data and calc.'!G61^2+'Eq. 3 coef.'!$B$17*'Data and calc.'!G61+'Eq. 3 coef.'!$B$18*'Data and calc.'!BF61+'Eq. 3 coef.'!$B$19*'Data and calc.'!BG61+'Eq. 3 coef.'!$B$20*'Data and calc.'!BH61+'Eq. 3 coef.'!$B$21*'Data and calc.'!BI61+'Eq. 3 coef.'!$B$22*'Data and calc.'!BJ61+'Eq. 3 coef.'!$B$23*'Data and calc.'!BK61+'Eq. 3 coef.'!$B$24*'Data and calc.'!BL61+'Eq. 3 coef.'!$B$25*'Data and calc.'!BM61+'Eq. 3 coef.'!$B$26*'Data and calc.'!BN61+'Eq. 3 coef.'!$B$27*'Data and calc.'!BO61+'Eq. 3 coef.'!$B$28*'Data and calc.'!BP61</f>
        <v>0.50300847675430305</v>
      </c>
      <c r="DM61" s="85">
        <f t="shared" si="198"/>
        <v>-3.6991523245696989E-2</v>
      </c>
      <c r="DN61" s="85">
        <f t="shared" si="143"/>
        <v>3.6991523245696989E-2</v>
      </c>
      <c r="DO61" s="85">
        <f t="shared" si="33"/>
        <v>1.3683727920369407E-3</v>
      </c>
      <c r="DP61" s="117"/>
      <c r="DQ61" s="99">
        <f>'Eq. 4 coef.'!$B$15+'Eq. 4 coef.'!$B$16*'Data and calc.'!G61^2+'Eq. 4 coef.'!$B$17*'Data and calc.'!G61+'Eq. 4 coef.'!$B$18*'Data and calc.'!O61+'Eq. 4 coef.'!$B$19*'Data and calc.'!P61+'Eq. 4 coef.'!$B$20*'Data and calc.'!Q61+'Eq. 4 coef.'!$B$21*'Data and calc.'!R61+'Eq. 4 coef.'!$B$22*'Data and calc.'!S61+'Eq. 4 coef.'!$B$23*'Data and calc.'!T61+'Eq. 4 coef.'!$B$24*'Data and calc.'!U61+'Eq. 4 coef.'!$B$25*'Data and calc.'!V61+'Eq. 4 coef.'!$B$26*'Data and calc.'!W61+'Eq. 4 coef.'!$B$27*'Data and calc.'!X61</f>
        <v>0.52768722690734648</v>
      </c>
      <c r="DR61" s="85">
        <f t="shared" si="199"/>
        <v>-1.2312773092653551E-2</v>
      </c>
      <c r="DS61" s="85">
        <f t="shared" si="145"/>
        <v>1.2312773092653551E-2</v>
      </c>
      <c r="DT61" s="85">
        <f t="shared" si="200"/>
        <v>1.5160438123117329E-4</v>
      </c>
    </row>
    <row r="62" spans="1:125" ht="15" x14ac:dyDescent="0.2">
      <c r="A62" s="66" t="s">
        <v>639</v>
      </c>
      <c r="B62" s="73">
        <v>1.45</v>
      </c>
      <c r="C62" s="73">
        <v>7.2499999999999995E-2</v>
      </c>
      <c r="D62" s="126">
        <f t="shared" si="111"/>
        <v>4.9999999999999991</v>
      </c>
      <c r="E62" s="72">
        <f t="shared" si="112"/>
        <v>1.4713343480466767E-2</v>
      </c>
      <c r="F62" s="64">
        <f t="shared" si="113"/>
        <v>5.4815342453913347</v>
      </c>
      <c r="G62" s="73">
        <v>2.3412676577852722</v>
      </c>
      <c r="H62" s="73">
        <v>3.6776678579155751E-2</v>
      </c>
      <c r="I62" s="126">
        <f t="shared" si="106"/>
        <v>1.5708019737454852</v>
      </c>
      <c r="J62" s="70">
        <v>1175</v>
      </c>
      <c r="K62" s="70">
        <v>205</v>
      </c>
      <c r="L62" s="73">
        <v>0.19332981713376346</v>
      </c>
      <c r="M62" s="70">
        <v>2.6</v>
      </c>
      <c r="N62" s="64">
        <f t="shared" si="147"/>
        <v>1.1725976803076823</v>
      </c>
      <c r="O62" s="76">
        <v>49.891433083300427</v>
      </c>
      <c r="P62" s="73">
        <v>1.0165811290959335</v>
      </c>
      <c r="Q62" s="73">
        <v>15.594157125937624</v>
      </c>
      <c r="R62" s="73">
        <v>9.4551914725621788</v>
      </c>
      <c r="S62" s="73">
        <v>0.16778523489932889</v>
      </c>
      <c r="T62" s="73">
        <v>9.5144097907619418</v>
      </c>
      <c r="U62" s="73">
        <v>12.041058033951835</v>
      </c>
      <c r="V62" s="73">
        <v>2.1910777733912359</v>
      </c>
      <c r="W62" s="73">
        <v>5.9218318199763122E-2</v>
      </c>
      <c r="X62" s="73">
        <v>6.9088037899723648E-2</v>
      </c>
      <c r="Y62" s="73">
        <f t="shared" si="148"/>
        <v>99.999999999999986</v>
      </c>
      <c r="Z62" s="73">
        <v>2.2502960915909989</v>
      </c>
      <c r="AA62" s="73">
        <v>0.74239564543113457</v>
      </c>
      <c r="AB62" s="59">
        <f t="shared" si="149"/>
        <v>4.2062489309558666</v>
      </c>
      <c r="AC62" s="60">
        <f t="shared" si="150"/>
        <v>5.6657780212505875</v>
      </c>
      <c r="AD62" s="57">
        <f t="shared" si="151"/>
        <v>100.41683547964428</v>
      </c>
      <c r="AE62" s="57"/>
      <c r="AF62" s="57">
        <f t="shared" si="152"/>
        <v>49.168007303592567</v>
      </c>
      <c r="AG62" s="57">
        <f t="shared" si="153"/>
        <v>1.0018407027240424</v>
      </c>
      <c r="AH62" s="57">
        <f t="shared" si="154"/>
        <v>15.368041847611527</v>
      </c>
      <c r="AI62" s="57">
        <f t="shared" si="155"/>
        <v>9.3180911962100268</v>
      </c>
      <c r="AJ62" s="57">
        <f t="shared" si="156"/>
        <v>0.16535234899328863</v>
      </c>
      <c r="AK62" s="57">
        <f t="shared" si="157"/>
        <v>9.3764508487958942</v>
      </c>
      <c r="AL62" s="57">
        <f t="shared" si="158"/>
        <v>11.866462692459534</v>
      </c>
      <c r="AM62" s="57">
        <f t="shared" si="159"/>
        <v>2.1593071456770629</v>
      </c>
      <c r="AN62" s="57">
        <f t="shared" si="160"/>
        <v>5.8359652585866548E-2</v>
      </c>
      <c r="AO62" s="57">
        <f t="shared" si="161"/>
        <v>6.8086261350177646E-2</v>
      </c>
      <c r="AP62" s="57">
        <f t="shared" si="162"/>
        <v>98.549999999999983</v>
      </c>
      <c r="AQ62" s="57"/>
      <c r="AR62" s="84">
        <f t="shared" si="163"/>
        <v>48.963908361322069</v>
      </c>
      <c r="AS62" s="85">
        <f t="shared" si="164"/>
        <v>0.99768201013178492</v>
      </c>
      <c r="AT62" s="85">
        <f t="shared" si="165"/>
        <v>15.304248310759423</v>
      </c>
      <c r="AU62" s="85">
        <f t="shared" si="166"/>
        <v>9.2794113175364075</v>
      </c>
      <c r="AV62" s="85">
        <f t="shared" si="167"/>
        <v>0.16466596283728496</v>
      </c>
      <c r="AW62" s="85">
        <f t="shared" si="168"/>
        <v>9.3375287161848632</v>
      </c>
      <c r="AX62" s="85">
        <f t="shared" si="169"/>
        <v>11.817204391852211</v>
      </c>
      <c r="AY62" s="85">
        <f t="shared" si="170"/>
        <v>2.1503437499927798</v>
      </c>
      <c r="AZ62" s="85">
        <f t="shared" si="171"/>
        <v>5.8117398648453493E-2</v>
      </c>
      <c r="BA62" s="85">
        <f t="shared" si="172"/>
        <v>6.7803631756529079E-2</v>
      </c>
      <c r="BB62" s="85">
        <f t="shared" si="173"/>
        <v>98.140913851021807</v>
      </c>
      <c r="BC62" s="85">
        <f t="shared" si="174"/>
        <v>4.1280511396889228</v>
      </c>
      <c r="BD62" s="85">
        <f t="shared" si="175"/>
        <v>5.5604463268256676</v>
      </c>
      <c r="BE62" s="85">
        <f t="shared" si="176"/>
        <v>100</v>
      </c>
      <c r="BF62" s="84">
        <f t="shared" si="177"/>
        <v>49.684331163188297</v>
      </c>
      <c r="BG62" s="85">
        <f t="shared" si="178"/>
        <v>1.0123612482311364</v>
      </c>
      <c r="BH62" s="85">
        <f t="shared" si="179"/>
        <v>15.52942497286598</v>
      </c>
      <c r="BI62" s="85">
        <f t="shared" si="180"/>
        <v>4.188788574012098</v>
      </c>
      <c r="BJ62" s="85">
        <f t="shared" si="181"/>
        <v>5.6422590835369535</v>
      </c>
      <c r="BK62" s="85">
        <f t="shared" si="182"/>
        <v>0.16708874970805171</v>
      </c>
      <c r="BL62" s="85">
        <f t="shared" si="183"/>
        <v>9.4749149834448136</v>
      </c>
      <c r="BM62" s="85">
        <f t="shared" si="184"/>
        <v>11.991074979048413</v>
      </c>
      <c r="BN62" s="85">
        <f t="shared" si="185"/>
        <v>2.1819824961874987</v>
      </c>
      <c r="BO62" s="85">
        <f t="shared" si="186"/>
        <v>5.8972499896959407E-2</v>
      </c>
      <c r="BP62" s="85">
        <f t="shared" si="187"/>
        <v>6.8801249879785975E-2</v>
      </c>
      <c r="BQ62" s="85">
        <f t="shared" si="188"/>
        <v>99.999999999999986</v>
      </c>
      <c r="BR62" s="85"/>
      <c r="BS62" s="82">
        <f>AR62/Weights!$B$5*2+AS62/Weights!$B$7*2+AT62/Weights!$B$8*3+'Data and calc.'!BC62/Weights!$B$20*3+'Data and calc.'!BD62/Weights!$B$10+'Data and calc.'!AV62/Weights!$B$11+'Data and calc.'!AW62/Weights!$B$13+'Data and calc.'!AX62/Weights!$B$14+'Data and calc.'!AY62/Weights!$B$15+AZ62/Weights!$B$16+B62/Weights!$B$19+'Data and calc.'!BA62/Weights!$B$6*5</f>
        <v>2.8230291810665156</v>
      </c>
      <c r="BT62" s="84">
        <f>AR62/Weights!$B$5*8/'Data and calc.'!$BS62</f>
        <v>2.3093996029105037</v>
      </c>
      <c r="BU62" s="85">
        <f>AS62/Weights!$B$7*8/'Data and calc.'!$BS62</f>
        <v>3.5400570815358218E-2</v>
      </c>
      <c r="BV62" s="85">
        <f>AT62/Weights!$B$8*8/'Data and calc.'!$BS62*2</f>
        <v>0.85071964939184119</v>
      </c>
      <c r="BW62" s="85">
        <f>BC62/Weights!$B$20*8/'Data and calc.'!$BS62*2</f>
        <v>0.14651433630700614</v>
      </c>
      <c r="BX62" s="85">
        <f>BD62/Weights!$B$10*8/'Data and calc.'!$BS62</f>
        <v>0.21932784344615328</v>
      </c>
      <c r="BY62" s="85">
        <f>AV62/Weights!$B$11*8/'Data and calc.'!$BS62</f>
        <v>6.5781742047032379E-3</v>
      </c>
      <c r="BZ62" s="85">
        <f>AW62/Weights!$B$13*8/'Data and calc.'!$BS62</f>
        <v>0.65653581108683612</v>
      </c>
      <c r="CA62" s="85">
        <f>AX62/Weights!$B$14*8/'Data and calc.'!$BS62</f>
        <v>0.59717909330386265</v>
      </c>
      <c r="CB62" s="85">
        <f>AY62/Weights!$B$15*8/'Data and calc.'!$BS62*2</f>
        <v>0.19663968724465111</v>
      </c>
      <c r="CC62" s="85">
        <f>AZ62/Weights!$B$16*8/'Data and calc.'!$BS62*2</f>
        <v>3.4968754603901695E-3</v>
      </c>
      <c r="CD62" s="85">
        <f>BA62/Weights!$B$6*8/'Data and calc.'!$BS62*2</f>
        <v>2.7073449375419451E-3</v>
      </c>
      <c r="CE62" s="85">
        <f>B62/Weights!$B$19*8/'Data and calc.'!$BS62*2</f>
        <v>0.45618221652415014</v>
      </c>
      <c r="CF62" s="85">
        <f t="shared" si="189"/>
        <v>13.368136637698836</v>
      </c>
      <c r="CG62" s="85">
        <f t="shared" si="190"/>
        <v>0.78750342957422315</v>
      </c>
      <c r="CH62" s="85">
        <f t="shared" si="191"/>
        <v>9.0791582904678675E-2</v>
      </c>
      <c r="CI62" s="85">
        <f>AR62/Weights!$B$5*2+AS62/Weights!$B$7*2+AT62/Weights!$B$8*3+'Data and calc.'!BC62/Weights!$B$20*3+'Data and calc.'!BD62/Weights!$B$10+'Data and calc.'!AV62/Weights!$B$11+'Data and calc.'!AW62/Weights!$B$13+'Data and calc.'!AX62/Weights!$B$14+'Data and calc.'!AY62/Weights!$B$15+AZ62/Weights!$B$16+'Data and calc.'!BA62/Weights!$B$6*5</f>
        <v>2.7425406992458106</v>
      </c>
      <c r="CJ62" s="84">
        <f>AR62/Weights!$B$5*8/'Data and calc.'!$CI62</f>
        <v>2.3771761970761696</v>
      </c>
      <c r="CK62" s="85">
        <f>AS62/Weights!$B$7*8/'Data and calc.'!$CI62</f>
        <v>3.6439511896997623E-2</v>
      </c>
      <c r="CL62" s="85">
        <f>AT62/Weights!$B$8*8/'Data and calc.'!$CI62*2</f>
        <v>0.87568669292684564</v>
      </c>
      <c r="CM62" s="85">
        <f>BC62/Weights!$B$20*8/'Data and calc.'!$CI62*2</f>
        <v>0.15081426027807504</v>
      </c>
      <c r="CN62" s="85">
        <f>BD62/Weights!$B$10*8/'Data and calc.'!$CI62</f>
        <v>0.22576470877502322</v>
      </c>
      <c r="CO62" s="85">
        <f>AV62/Weights!$B$11*8/'Data and calc.'!$CI62</f>
        <v>6.7712314144045514E-3</v>
      </c>
      <c r="CP62" s="85">
        <f>AW62/Weights!$B$13*8/'Data and calc.'!$CI62</f>
        <v>0.67580391919908267</v>
      </c>
      <c r="CQ62" s="85">
        <f>AX62/Weights!$B$14*8/'Data and calc.'!$CI62</f>
        <v>0.61470519186214878</v>
      </c>
      <c r="CR62" s="85">
        <f>AY62/Weights!$B$15*8/'Data and calc.'!$CI62*2</f>
        <v>0.20241069727792887</v>
      </c>
      <c r="CS62" s="85">
        <f>AZ62/Weights!$B$16*8/'Data and calc.'!$CI62*2</f>
        <v>3.5995022680799455E-3</v>
      </c>
      <c r="CT62" s="85">
        <f>BA62/Weights!$B$6*8/'Data and calc.'!$CI62*2</f>
        <v>2.7868004890484904E-3</v>
      </c>
      <c r="CU62" s="85">
        <f t="shared" si="192"/>
        <v>8.0000000000000018</v>
      </c>
      <c r="CV62" s="85">
        <f t="shared" si="193"/>
        <v>13.760466648712352</v>
      </c>
      <c r="CW62" s="85">
        <f t="shared" si="194"/>
        <v>0.65100505919171392</v>
      </c>
      <c r="CX62" s="113"/>
      <c r="CY62" s="90">
        <f t="shared" si="88"/>
        <v>1.6488314533531192E-2</v>
      </c>
      <c r="CZ62" s="91">
        <f t="shared" si="195"/>
        <v>1.6220859893601154</v>
      </c>
      <c r="DA62" s="85">
        <f t="shared" si="135"/>
        <v>0.17208598936011543</v>
      </c>
      <c r="DB62" s="85">
        <f t="shared" si="136"/>
        <v>0.17208598936011543</v>
      </c>
      <c r="DC62" s="85">
        <f t="shared" si="196"/>
        <v>2.9613587734049762E-2</v>
      </c>
      <c r="DD62" s="117"/>
      <c r="DE62" s="97"/>
      <c r="DF62" s="91">
        <f t="shared" si="138"/>
        <v>1.6246951587003269</v>
      </c>
      <c r="DG62" s="85">
        <f t="shared" si="139"/>
        <v>0.17469515870032692</v>
      </c>
      <c r="DH62" s="85">
        <f t="shared" si="140"/>
        <v>0.17469515870032692</v>
      </c>
      <c r="DI62" s="85">
        <f t="shared" si="197"/>
        <v>3.051839847333241E-2</v>
      </c>
      <c r="DK62" s="117"/>
      <c r="DL62" s="99">
        <f>'Eq. 3 coef.'!$B$15+'Eq. 3 coef.'!$B$16*'Data and calc.'!G62^2+'Eq. 3 coef.'!$B$17*'Data and calc.'!G62+'Eq. 3 coef.'!$B$18*'Data and calc.'!BF62+'Eq. 3 coef.'!$B$19*'Data and calc.'!BG62+'Eq. 3 coef.'!$B$20*'Data and calc.'!BH62+'Eq. 3 coef.'!$B$21*'Data and calc.'!BI62+'Eq. 3 coef.'!$B$22*'Data and calc.'!BJ62+'Eq. 3 coef.'!$B$23*'Data and calc.'!BK62+'Eq. 3 coef.'!$B$24*'Data and calc.'!BL62+'Eq. 3 coef.'!$B$25*'Data and calc.'!BM62+'Eq. 3 coef.'!$B$26*'Data and calc.'!BN62+'Eq. 3 coef.'!$B$27*'Data and calc.'!BO62+'Eq. 3 coef.'!$B$28*'Data and calc.'!BP62</f>
        <v>1.4910320431472428</v>
      </c>
      <c r="DM62" s="85">
        <f t="shared" si="198"/>
        <v>4.1032043147242847E-2</v>
      </c>
      <c r="DN62" s="85">
        <f t="shared" si="143"/>
        <v>4.1032043147242847E-2</v>
      </c>
      <c r="DO62" s="85">
        <f t="shared" si="33"/>
        <v>1.6836285648371987E-3</v>
      </c>
      <c r="DP62" s="117"/>
      <c r="DQ62" s="99">
        <f>'Eq. 4 coef.'!$B$15+'Eq. 4 coef.'!$B$16*'Data and calc.'!G62^2+'Eq. 4 coef.'!$B$17*'Data and calc.'!G62+'Eq. 4 coef.'!$B$18*'Data and calc.'!O62+'Eq. 4 coef.'!$B$19*'Data and calc.'!P62+'Eq. 4 coef.'!$B$20*'Data and calc.'!Q62+'Eq. 4 coef.'!$B$21*'Data and calc.'!R62+'Eq. 4 coef.'!$B$22*'Data and calc.'!S62+'Eq. 4 coef.'!$B$23*'Data and calc.'!T62+'Eq. 4 coef.'!$B$24*'Data and calc.'!U62+'Eq. 4 coef.'!$B$25*'Data and calc.'!V62+'Eq. 4 coef.'!$B$26*'Data and calc.'!W62+'Eq. 4 coef.'!$B$27*'Data and calc.'!X62</f>
        <v>1.5302926550116354</v>
      </c>
      <c r="DR62" s="85">
        <f t="shared" si="199"/>
        <v>8.0292655011635405E-2</v>
      </c>
      <c r="DS62" s="85">
        <f t="shared" si="145"/>
        <v>8.0292655011635405E-2</v>
      </c>
      <c r="DT62" s="85">
        <f t="shared" si="200"/>
        <v>6.4469104488174998E-3</v>
      </c>
    </row>
    <row r="63" spans="1:125" ht="15" x14ac:dyDescent="0.2">
      <c r="A63" s="66" t="s">
        <v>589</v>
      </c>
      <c r="B63" s="73">
        <v>1.79</v>
      </c>
      <c r="C63" s="73">
        <v>8.950000000000001E-2</v>
      </c>
      <c r="D63" s="126">
        <f t="shared" si="111"/>
        <v>5.0000000000000009</v>
      </c>
      <c r="E63" s="72">
        <f t="shared" si="112"/>
        <v>1.8226249872721721E-2</v>
      </c>
      <c r="F63" s="64">
        <f t="shared" si="113"/>
        <v>9.1312906930753304</v>
      </c>
      <c r="G63" s="73">
        <v>3.0218025569310996</v>
      </c>
      <c r="H63" s="73">
        <v>4.1193594335336585E-2</v>
      </c>
      <c r="I63" s="126">
        <f t="shared" si="106"/>
        <v>1.363212637465375</v>
      </c>
      <c r="J63" s="70">
        <v>1170</v>
      </c>
      <c r="K63" s="70">
        <v>205</v>
      </c>
      <c r="L63" s="73">
        <v>0.27115366780304873</v>
      </c>
      <c r="M63" s="70">
        <v>2.6</v>
      </c>
      <c r="N63" s="64">
        <f t="shared" si="147"/>
        <v>1.4664309667286486</v>
      </c>
      <c r="O63" s="76">
        <v>49.891433083300427</v>
      </c>
      <c r="P63" s="73">
        <v>1.0165811290959335</v>
      </c>
      <c r="Q63" s="73">
        <v>15.594157125937624</v>
      </c>
      <c r="R63" s="73">
        <v>9.4551914725621788</v>
      </c>
      <c r="S63" s="73">
        <v>0.16778523489932889</v>
      </c>
      <c r="T63" s="73">
        <v>9.5144097907619418</v>
      </c>
      <c r="U63" s="73">
        <v>12.041058033951835</v>
      </c>
      <c r="V63" s="73">
        <v>2.1910777733912359</v>
      </c>
      <c r="W63" s="73">
        <v>5.9218318199763122E-2</v>
      </c>
      <c r="X63" s="73">
        <v>6.9088037899723648E-2</v>
      </c>
      <c r="Y63" s="73">
        <f t="shared" si="148"/>
        <v>99.999999999999986</v>
      </c>
      <c r="Z63" s="73">
        <v>2.2502960915909989</v>
      </c>
      <c r="AA63" s="73">
        <v>0.88401453100785787</v>
      </c>
      <c r="AB63" s="59">
        <f t="shared" si="149"/>
        <v>4.6529072095526827</v>
      </c>
      <c r="AC63" s="60">
        <f t="shared" si="150"/>
        <v>5.2633831756678706</v>
      </c>
      <c r="AD63" s="57">
        <f t="shared" si="151"/>
        <v>100.46109891265837</v>
      </c>
      <c r="AE63" s="57"/>
      <c r="AF63" s="57">
        <f t="shared" si="152"/>
        <v>48.998376431109342</v>
      </c>
      <c r="AG63" s="57">
        <f t="shared" si="153"/>
        <v>0.99838432688511614</v>
      </c>
      <c r="AH63" s="57">
        <f t="shared" si="154"/>
        <v>15.31502171338334</v>
      </c>
      <c r="AI63" s="57">
        <f t="shared" si="155"/>
        <v>9.285943545203315</v>
      </c>
      <c r="AJ63" s="57">
        <f t="shared" si="156"/>
        <v>0.16478187919463089</v>
      </c>
      <c r="AK63" s="57">
        <f t="shared" si="157"/>
        <v>9.3441018555073025</v>
      </c>
      <c r="AL63" s="57">
        <f t="shared" si="158"/>
        <v>11.825523095144097</v>
      </c>
      <c r="AM63" s="57">
        <f t="shared" si="159"/>
        <v>2.1518574812475326</v>
      </c>
      <c r="AN63" s="57">
        <f t="shared" si="160"/>
        <v>5.8158310303987361E-2</v>
      </c>
      <c r="AO63" s="57">
        <f t="shared" si="161"/>
        <v>6.7851362021318598E-2</v>
      </c>
      <c r="AP63" s="57">
        <f t="shared" si="162"/>
        <v>98.209999999999965</v>
      </c>
      <c r="AQ63" s="57"/>
      <c r="AR63" s="84">
        <f t="shared" si="163"/>
        <v>48.773482433940821</v>
      </c>
      <c r="AS63" s="85">
        <f t="shared" si="164"/>
        <v>0.99380191705161314</v>
      </c>
      <c r="AT63" s="85">
        <f t="shared" si="165"/>
        <v>15.244728436325721</v>
      </c>
      <c r="AU63" s="85">
        <f t="shared" si="166"/>
        <v>9.2433226848101508</v>
      </c>
      <c r="AV63" s="85">
        <f t="shared" si="167"/>
        <v>0.16402555912502359</v>
      </c>
      <c r="AW63" s="85">
        <f t="shared" si="168"/>
        <v>9.3012140586189833</v>
      </c>
      <c r="AX63" s="85">
        <f t="shared" si="169"/>
        <v>11.771246007795808</v>
      </c>
      <c r="AY63" s="85">
        <f t="shared" si="170"/>
        <v>2.1419808309267787</v>
      </c>
      <c r="AZ63" s="85">
        <f t="shared" si="171"/>
        <v>5.7891373808831845E-2</v>
      </c>
      <c r="BA63" s="85">
        <f t="shared" si="172"/>
        <v>6.7539936110303816E-2</v>
      </c>
      <c r="BB63" s="85">
        <f t="shared" si="173"/>
        <v>97.759233238514042</v>
      </c>
      <c r="BC63" s="85">
        <f t="shared" si="174"/>
        <v>4.5486464113582423</v>
      </c>
      <c r="BD63" s="85">
        <f t="shared" si="175"/>
        <v>5.1454430349378608</v>
      </c>
      <c r="BE63" s="85">
        <f t="shared" si="176"/>
        <v>100</v>
      </c>
      <c r="BF63" s="84">
        <f t="shared" si="177"/>
        <v>49.662440111944626</v>
      </c>
      <c r="BG63" s="85">
        <f t="shared" si="178"/>
        <v>1.0119151991157858</v>
      </c>
      <c r="BH63" s="85">
        <f t="shared" si="179"/>
        <v>15.522582666047979</v>
      </c>
      <c r="BI63" s="85">
        <f t="shared" si="180"/>
        <v>4.631551177434317</v>
      </c>
      <c r="BJ63" s="85">
        <f t="shared" si="181"/>
        <v>5.2392251653984943</v>
      </c>
      <c r="BK63" s="85">
        <f t="shared" si="182"/>
        <v>0.16701512995114914</v>
      </c>
      <c r="BL63" s="85">
        <f t="shared" si="183"/>
        <v>9.4707403101710455</v>
      </c>
      <c r="BM63" s="85">
        <f t="shared" si="184"/>
        <v>11.985791678847173</v>
      </c>
      <c r="BN63" s="85">
        <f t="shared" si="185"/>
        <v>2.1810211087738303</v>
      </c>
      <c r="BO63" s="85">
        <f t="shared" si="186"/>
        <v>5.894651645334676E-2</v>
      </c>
      <c r="BP63" s="85">
        <f t="shared" si="187"/>
        <v>6.877093586223787E-2</v>
      </c>
      <c r="BQ63" s="85">
        <f t="shared" si="188"/>
        <v>100</v>
      </c>
      <c r="BR63" s="85"/>
      <c r="BS63" s="82">
        <f>AR63/Weights!$B$5*2+AS63/Weights!$B$7*2+AT63/Weights!$B$8*3+'Data and calc.'!BC63/Weights!$B$20*3+'Data and calc.'!BD63/Weights!$B$10+'Data and calc.'!AV63/Weights!$B$11+'Data and calc.'!AW63/Weights!$B$13+'Data and calc.'!AX63/Weights!$B$14+'Data and calc.'!AY63/Weights!$B$15+AZ63/Weights!$B$16+B63/Weights!$B$19+'Data and calc.'!BA63/Weights!$B$6*5</f>
        <v>2.833964086554809</v>
      </c>
      <c r="BT63" s="84">
        <f>AR63/Weights!$B$5*8/'Data and calc.'!$BS63</f>
        <v>2.2915418905284795</v>
      </c>
      <c r="BU63" s="85">
        <f>AS63/Weights!$B$7*8/'Data and calc.'!$BS63</f>
        <v>3.5126831610162453E-2</v>
      </c>
      <c r="BV63" s="85">
        <f>AT63/Weights!$B$8*8/'Data and calc.'!$BS63*2</f>
        <v>0.84414135657606781</v>
      </c>
      <c r="BW63" s="85">
        <f>BC63/Weights!$B$20*8/'Data and calc.'!$BS63*2</f>
        <v>0.16081933302971554</v>
      </c>
      <c r="BX63" s="85">
        <f>BD63/Weights!$B$10*8/'Data and calc.'!$BS63</f>
        <v>0.2021752156186605</v>
      </c>
      <c r="BY63" s="85">
        <f>AV63/Weights!$B$11*8/'Data and calc.'!$BS63</f>
        <v>6.5273076752388713E-3</v>
      </c>
      <c r="BZ63" s="85">
        <f>AW63/Weights!$B$13*8/'Data and calc.'!$BS63</f>
        <v>0.65145906834031797</v>
      </c>
      <c r="CA63" s="85">
        <f>AX63/Weights!$B$14*8/'Data and calc.'!$BS63</f>
        <v>0.59256133357300522</v>
      </c>
      <c r="CB63" s="85">
        <f>AY63/Weights!$B$15*8/'Data and calc.'!$BS63*2</f>
        <v>0.19511914702576452</v>
      </c>
      <c r="CC63" s="85">
        <f>AZ63/Weights!$B$16*8/'Data and calc.'!$BS63*2</f>
        <v>3.4698354469907106E-3</v>
      </c>
      <c r="CD63" s="85">
        <f>BA63/Weights!$B$6*8/'Data and calc.'!$BS63*2</f>
        <v>2.6864100646197264E-3</v>
      </c>
      <c r="CE63" s="85">
        <f>B63/Weights!$B$19*8/'Data and calc.'!$BS63*2</f>
        <v>0.56097615941778278</v>
      </c>
      <c r="CF63" s="85">
        <f t="shared" si="189"/>
        <v>13.326517646977701</v>
      </c>
      <c r="CG63" s="85">
        <f t="shared" si="190"/>
        <v>0.80245490197617053</v>
      </c>
      <c r="CH63" s="85">
        <f t="shared" si="191"/>
        <v>0.11251866161200071</v>
      </c>
      <c r="CI63" s="85">
        <f>AR63/Weights!$B$5*2+AS63/Weights!$B$7*2+AT63/Weights!$B$8*3+'Data and calc.'!BC63/Weights!$B$20*3+'Data and calc.'!BD63/Weights!$B$10+'Data and calc.'!AV63/Weights!$B$11+'Data and calc.'!AW63/Weights!$B$13+'Data and calc.'!AX63/Weights!$B$14+'Data and calc.'!AY63/Weights!$B$15+AZ63/Weights!$B$16+'Data and calc.'!BA63/Weights!$B$6*5</f>
        <v>2.7346024434795941</v>
      </c>
      <c r="CJ63" s="84">
        <f>AR63/Weights!$B$5*8/'Data and calc.'!$CI63</f>
        <v>2.3748049505617588</v>
      </c>
      <c r="CK63" s="85">
        <f>AS63/Weights!$B$7*8/'Data and calc.'!$CI63</f>
        <v>3.6403163280652372E-2</v>
      </c>
      <c r="CL63" s="85">
        <f>AT63/Weights!$B$8*8/'Data and calc.'!$CI63*2</f>
        <v>0.87481319056683016</v>
      </c>
      <c r="CM63" s="85">
        <f>BC63/Weights!$B$20*8/'Data and calc.'!$CI63*2</f>
        <v>0.16666269545564838</v>
      </c>
      <c r="CN63" s="85">
        <f>BD63/Weights!$B$10*8/'Data and calc.'!$CI63</f>
        <v>0.20952124197099373</v>
      </c>
      <c r="CO63" s="85">
        <f>AV63/Weights!$B$11*8/'Data and calc.'!$CI63</f>
        <v>6.764477073304625E-3</v>
      </c>
      <c r="CP63" s="85">
        <f>AW63/Weights!$B$13*8/'Data and calc.'!$CI63</f>
        <v>0.67512980102063336</v>
      </c>
      <c r="CQ63" s="85">
        <f>AX63/Weights!$B$14*8/'Data and calc.'!$CI63</f>
        <v>0.61409202000497376</v>
      </c>
      <c r="CR63" s="85">
        <f>AY63/Weights!$B$15*8/'Data and calc.'!$CI63*2</f>
        <v>0.2022087914785228</v>
      </c>
      <c r="CS63" s="85">
        <f>AZ63/Weights!$B$16*8/'Data and calc.'!$CI63*2</f>
        <v>3.595911744492634E-3</v>
      </c>
      <c r="CT63" s="85">
        <f>BA63/Weights!$B$6*8/'Data and calc.'!$CI63*2</f>
        <v>2.7840206400183082E-3</v>
      </c>
      <c r="CU63" s="85">
        <f t="shared" si="192"/>
        <v>7.9999999999999991</v>
      </c>
      <c r="CV63" s="85">
        <f t="shared" si="193"/>
        <v>13.81073599945956</v>
      </c>
      <c r="CW63" s="85">
        <f t="shared" si="194"/>
        <v>0.63407598280818933</v>
      </c>
      <c r="CX63" s="113"/>
      <c r="CY63" s="90">
        <f t="shared" si="88"/>
        <v>2.2347720015176768E-2</v>
      </c>
      <c r="CZ63" s="91">
        <f t="shared" si="195"/>
        <v>2.1859216368032803</v>
      </c>
      <c r="DA63" s="85">
        <f t="shared" si="135"/>
        <v>0.3959216368032803</v>
      </c>
      <c r="DB63" s="85">
        <f t="shared" si="136"/>
        <v>0.3959216368032803</v>
      </c>
      <c r="DC63" s="85">
        <f t="shared" si="196"/>
        <v>0.15675394248898861</v>
      </c>
      <c r="DD63" s="117"/>
      <c r="DE63" s="97"/>
      <c r="DF63" s="91">
        <f t="shared" si="138"/>
        <v>2.1937679453430547</v>
      </c>
      <c r="DG63" s="85">
        <f t="shared" si="139"/>
        <v>0.40376794534305471</v>
      </c>
      <c r="DH63" s="85">
        <f t="shared" si="140"/>
        <v>0.40376794534305471</v>
      </c>
      <c r="DI63" s="85">
        <f t="shared" si="197"/>
        <v>0.16302855368655203</v>
      </c>
      <c r="DK63" s="117"/>
      <c r="DL63" s="99">
        <f>'Eq. 3 coef.'!$B$15+'Eq. 3 coef.'!$B$16*'Data and calc.'!G63^2+'Eq. 3 coef.'!$B$17*'Data and calc.'!G63+'Eq. 3 coef.'!$B$18*'Data and calc.'!BF63+'Eq. 3 coef.'!$B$19*'Data and calc.'!BG63+'Eq. 3 coef.'!$B$20*'Data and calc.'!BH63+'Eq. 3 coef.'!$B$21*'Data and calc.'!BI63+'Eq. 3 coef.'!$B$22*'Data and calc.'!BJ63+'Eq. 3 coef.'!$B$23*'Data and calc.'!BK63+'Eq. 3 coef.'!$B$24*'Data and calc.'!BL63+'Eq. 3 coef.'!$B$25*'Data and calc.'!BM63+'Eq. 3 coef.'!$B$26*'Data and calc.'!BN63+'Eq. 3 coef.'!$B$27*'Data and calc.'!BO63+'Eq. 3 coef.'!$B$28*'Data and calc.'!BP63</f>
        <v>2.0629853500161062</v>
      </c>
      <c r="DM63" s="85">
        <f t="shared" si="198"/>
        <v>0.27298535001610613</v>
      </c>
      <c r="DN63" s="85">
        <f t="shared" si="143"/>
        <v>0.27298535001610613</v>
      </c>
      <c r="DO63" s="85">
        <f t="shared" si="33"/>
        <v>7.4521001323415978E-2</v>
      </c>
      <c r="DP63" s="117"/>
      <c r="DQ63" s="99">
        <f>'Eq. 4 coef.'!$B$15+'Eq. 4 coef.'!$B$16*'Data and calc.'!G63^2+'Eq. 4 coef.'!$B$17*'Data and calc.'!G63+'Eq. 4 coef.'!$B$18*'Data and calc.'!O63+'Eq. 4 coef.'!$B$19*'Data and calc.'!P63+'Eq. 4 coef.'!$B$20*'Data and calc.'!Q63+'Eq. 4 coef.'!$B$21*'Data and calc.'!R63+'Eq. 4 coef.'!$B$22*'Data and calc.'!S63+'Eq. 4 coef.'!$B$23*'Data and calc.'!T63+'Eq. 4 coef.'!$B$24*'Data and calc.'!U63+'Eq. 4 coef.'!$B$25*'Data and calc.'!V63+'Eq. 4 coef.'!$B$26*'Data and calc.'!W63+'Eq. 4 coef.'!$B$27*'Data and calc.'!X63</f>
        <v>2.0928517433544584</v>
      </c>
      <c r="DR63" s="85">
        <f t="shared" si="199"/>
        <v>0.30285174335445841</v>
      </c>
      <c r="DS63" s="85">
        <f t="shared" si="145"/>
        <v>0.30285174335445841</v>
      </c>
      <c r="DT63" s="85">
        <f t="shared" si="200"/>
        <v>9.171917845283474E-2</v>
      </c>
    </row>
    <row r="64" spans="1:125" ht="15" x14ac:dyDescent="0.2">
      <c r="A64" s="66" t="s">
        <v>591</v>
      </c>
      <c r="B64" s="73">
        <v>1.1000000000000001</v>
      </c>
      <c r="C64" s="73">
        <v>5.5000000000000007E-2</v>
      </c>
      <c r="D64" s="126">
        <f t="shared" si="111"/>
        <v>5</v>
      </c>
      <c r="E64" s="72">
        <f t="shared" si="112"/>
        <v>1.1122345803842266E-2</v>
      </c>
      <c r="F64" s="64">
        <f t="shared" si="113"/>
        <v>3.6047227696369961</v>
      </c>
      <c r="G64" s="73">
        <v>1.8986107472667999</v>
      </c>
      <c r="H64" s="73">
        <v>7.6081432492306852E-2</v>
      </c>
      <c r="I64" s="126">
        <f t="shared" si="106"/>
        <v>4.0072159394352989</v>
      </c>
      <c r="J64" s="70">
        <v>1170</v>
      </c>
      <c r="K64" s="70">
        <v>205</v>
      </c>
      <c r="L64" s="73">
        <v>0.12146035345591549</v>
      </c>
      <c r="M64" s="70">
        <v>2.6</v>
      </c>
      <c r="N64" s="64">
        <f t="shared" si="147"/>
        <v>0.76886908121561115</v>
      </c>
      <c r="O64" s="76">
        <v>49.891433083300427</v>
      </c>
      <c r="P64" s="73">
        <v>1.0165811290959335</v>
      </c>
      <c r="Q64" s="73">
        <v>15.594157125937624</v>
      </c>
      <c r="R64" s="73">
        <v>9.4551914725621788</v>
      </c>
      <c r="S64" s="73">
        <v>0.16778523489932889</v>
      </c>
      <c r="T64" s="73">
        <v>9.5144097907619418</v>
      </c>
      <c r="U64" s="73">
        <v>12.041058033951835</v>
      </c>
      <c r="V64" s="73">
        <v>2.1910777733912359</v>
      </c>
      <c r="W64" s="73">
        <v>5.9218318199763122E-2</v>
      </c>
      <c r="X64" s="73">
        <v>6.9088037899723648E-2</v>
      </c>
      <c r="Y64" s="73">
        <f t="shared" si="148"/>
        <v>99.999999999999986</v>
      </c>
      <c r="Z64" s="73">
        <v>2.2502960915909989</v>
      </c>
      <c r="AA64" s="73">
        <v>0.59161272774445173</v>
      </c>
      <c r="AB64" s="59">
        <f t="shared" si="149"/>
        <v>3.6489682964972636</v>
      </c>
      <c r="AC64" s="60">
        <f t="shared" si="150"/>
        <v>6.1678326468889688</v>
      </c>
      <c r="AD64" s="57">
        <f t="shared" si="151"/>
        <v>100.36160947082405</v>
      </c>
      <c r="AE64" s="57"/>
      <c r="AF64" s="57">
        <f t="shared" si="152"/>
        <v>49.342627319384128</v>
      </c>
      <c r="AG64" s="57">
        <f t="shared" si="153"/>
        <v>1.0053987366758783</v>
      </c>
      <c r="AH64" s="57">
        <f t="shared" si="154"/>
        <v>15.422621397552312</v>
      </c>
      <c r="AI64" s="57">
        <f t="shared" si="155"/>
        <v>9.3511843663639951</v>
      </c>
      <c r="AJ64" s="57">
        <f t="shared" si="156"/>
        <v>0.16593959731543628</v>
      </c>
      <c r="AK64" s="57">
        <f t="shared" si="157"/>
        <v>9.4097512830635601</v>
      </c>
      <c r="AL64" s="57">
        <f t="shared" si="158"/>
        <v>11.908606395578365</v>
      </c>
      <c r="AM64" s="57">
        <f t="shared" si="159"/>
        <v>2.1669759178839327</v>
      </c>
      <c r="AN64" s="57">
        <f t="shared" si="160"/>
        <v>5.8566916699565735E-2</v>
      </c>
      <c r="AO64" s="57">
        <f t="shared" si="161"/>
        <v>6.8328069482826687E-2</v>
      </c>
      <c r="AP64" s="57">
        <f t="shared" si="162"/>
        <v>98.9</v>
      </c>
      <c r="AQ64" s="57"/>
      <c r="AR64" s="84">
        <f t="shared" si="163"/>
        <v>49.1648425922548</v>
      </c>
      <c r="AS64" s="85">
        <f t="shared" si="164"/>
        <v>1.0017762189915418</v>
      </c>
      <c r="AT64" s="85">
        <f t="shared" si="165"/>
        <v>15.367052679676082</v>
      </c>
      <c r="AU64" s="85">
        <f t="shared" si="166"/>
        <v>9.3174914348922062</v>
      </c>
      <c r="AV64" s="85">
        <f t="shared" si="167"/>
        <v>0.16534170604714774</v>
      </c>
      <c r="AW64" s="85">
        <f t="shared" si="168"/>
        <v>9.3758473311441399</v>
      </c>
      <c r="AX64" s="85">
        <f t="shared" si="169"/>
        <v>11.865698904560011</v>
      </c>
      <c r="AY64" s="85">
        <f t="shared" si="170"/>
        <v>2.1591681613215763</v>
      </c>
      <c r="AZ64" s="85">
        <f t="shared" si="171"/>
        <v>5.8355896251934485E-2</v>
      </c>
      <c r="BA64" s="85">
        <f t="shared" si="172"/>
        <v>6.8081878960590231E-2</v>
      </c>
      <c r="BB64" s="85">
        <f t="shared" si="173"/>
        <v>98.543656804100024</v>
      </c>
      <c r="BC64" s="85">
        <f t="shared" si="174"/>
        <v>3.5958267949906788</v>
      </c>
      <c r="BD64" s="85">
        <f t="shared" si="175"/>
        <v>6.0780078358015048</v>
      </c>
      <c r="BE64" s="85">
        <f t="shared" si="176"/>
        <v>100</v>
      </c>
      <c r="BF64" s="84">
        <f t="shared" si="177"/>
        <v>49.711670972957329</v>
      </c>
      <c r="BG64" s="85">
        <f t="shared" si="178"/>
        <v>1.0129183205172312</v>
      </c>
      <c r="BH64" s="85">
        <f t="shared" si="179"/>
        <v>15.537970353565301</v>
      </c>
      <c r="BI64" s="85">
        <f t="shared" si="180"/>
        <v>3.6358208240552865</v>
      </c>
      <c r="BJ64" s="85">
        <f t="shared" si="181"/>
        <v>6.1456095407497511</v>
      </c>
      <c r="BK64" s="85">
        <f t="shared" si="182"/>
        <v>0.16718069367760136</v>
      </c>
      <c r="BL64" s="85">
        <f t="shared" si="183"/>
        <v>9.480128747365157</v>
      </c>
      <c r="BM64" s="85">
        <f t="shared" si="184"/>
        <v>11.997673310980799</v>
      </c>
      <c r="BN64" s="85">
        <f t="shared" si="185"/>
        <v>2.183183176260441</v>
      </c>
      <c r="BO64" s="85">
        <f t="shared" si="186"/>
        <v>5.9004950709741641E-2</v>
      </c>
      <c r="BP64" s="85">
        <f t="shared" si="187"/>
        <v>6.8839109161365236E-2</v>
      </c>
      <c r="BQ64" s="85">
        <f t="shared" si="188"/>
        <v>100</v>
      </c>
      <c r="BR64" s="85"/>
      <c r="BS64" s="82">
        <f>AR64/Weights!$B$5*2+AS64/Weights!$B$7*2+AT64/Weights!$B$8*3+'Data and calc.'!BC64/Weights!$B$20*3+'Data and calc.'!BD64/Weights!$B$10+'Data and calc.'!AV64/Weights!$B$11+'Data and calc.'!AW64/Weights!$B$13+'Data and calc.'!AX64/Weights!$B$14+'Data and calc.'!AY64/Weights!$B$15+AZ64/Weights!$B$16+B64/Weights!$B$19+'Data and calc.'!BA64/Weights!$B$6*5</f>
        <v>2.8114248790745267</v>
      </c>
      <c r="BT64" s="84">
        <f>AR64/Weights!$B$5*8/'Data and calc.'!$BS64</f>
        <v>2.3284480191056369</v>
      </c>
      <c r="BU64" s="85">
        <f>AS64/Weights!$B$7*8/'Data and calc.'!$BS64</f>
        <v>3.5692562208093533E-2</v>
      </c>
      <c r="BV64" s="85">
        <f>AT64/Weights!$B$8*8/'Data and calc.'!$BS64*2</f>
        <v>0.85773656492545891</v>
      </c>
      <c r="BW64" s="85">
        <f>BC64/Weights!$B$20*8/'Data and calc.'!$BS64*2</f>
        <v>0.12815120709314765</v>
      </c>
      <c r="BX64" s="85">
        <f>BD64/Weights!$B$10*8/'Data and calc.'!$BS64</f>
        <v>0.24073223877573308</v>
      </c>
      <c r="BY64" s="85">
        <f>AV64/Weights!$B$11*8/'Data and calc.'!$BS64</f>
        <v>6.6324323763498226E-3</v>
      </c>
      <c r="BZ64" s="85">
        <f>AW64/Weights!$B$13*8/'Data and calc.'!$BS64</f>
        <v>0.66195105726633219</v>
      </c>
      <c r="CA64" s="85">
        <f>AX64/Weights!$B$14*8/'Data and calc.'!$BS64</f>
        <v>0.60210475272544906</v>
      </c>
      <c r="CB64" s="85">
        <f>AY64/Weights!$B$15*8/'Data and calc.'!$BS64*2</f>
        <v>0.19826161296006053</v>
      </c>
      <c r="CC64" s="85">
        <f>AZ64/Weights!$B$16*8/'Data and calc.'!$BS64*2</f>
        <v>3.5257184285227149E-3</v>
      </c>
      <c r="CD64" s="85">
        <f>BA64/Weights!$B$6*8/'Data and calc.'!$BS64*2</f>
        <v>2.7296756909936611E-3</v>
      </c>
      <c r="CE64" s="85">
        <f>B64/Weights!$B$19*8/'Data and calc.'!$BS64*2</f>
        <v>0.34749768655797625</v>
      </c>
      <c r="CF64" s="85">
        <f t="shared" si="189"/>
        <v>13.400113413329347</v>
      </c>
      <c r="CG64" s="85">
        <f t="shared" si="190"/>
        <v>0.77607897977475226</v>
      </c>
      <c r="CH64" s="85">
        <f t="shared" si="191"/>
        <v>6.8594557765762273E-2</v>
      </c>
      <c r="CI64" s="85">
        <f>AR64/Weights!$B$5*2+AS64/Weights!$B$7*2+AT64/Weights!$B$8*3+'Data and calc.'!BC64/Weights!$B$20*3+'Data and calc.'!BD64/Weights!$B$10+'Data and calc.'!AV64/Weights!$B$11+'Data and calc.'!AW64/Weights!$B$13+'Data and calc.'!AX64/Weights!$B$14+'Data and calc.'!AY64/Weights!$B$15+AZ64/Weights!$B$16+'Data and calc.'!BA64/Weights!$B$6*5</f>
        <v>2.7503646514864055</v>
      </c>
      <c r="CJ64" s="84">
        <f>AR64/Weights!$B$5*8/'Data and calc.'!$CI64</f>
        <v>2.3801413703479395</v>
      </c>
      <c r="CK64" s="85">
        <f>AS64/Weights!$B$7*8/'Data and calc.'!$CI64</f>
        <v>3.6484964761133741E-2</v>
      </c>
      <c r="CL64" s="85">
        <f>AT64/Weights!$B$8*8/'Data and calc.'!$CI64*2</f>
        <v>0.87677898165979884</v>
      </c>
      <c r="CM64" s="85">
        <f>BC64/Weights!$B$20*8/'Data and calc.'!$CI64*2</f>
        <v>0.1309962632447278</v>
      </c>
      <c r="CN64" s="85">
        <f>BD64/Weights!$B$10*8/'Data and calc.'!$CI64</f>
        <v>0.24607668111340644</v>
      </c>
      <c r="CO64" s="85">
        <f>AV64/Weights!$B$11*8/'Data and calc.'!$CI64</f>
        <v>6.7796775171510169E-3</v>
      </c>
      <c r="CP64" s="85">
        <f>AW64/Weights!$B$13*8/'Data and calc.'!$CI64</f>
        <v>0.67664688394045547</v>
      </c>
      <c r="CQ64" s="85">
        <f>AX64/Weights!$B$14*8/'Data and calc.'!$CI64</f>
        <v>0.61547194504063407</v>
      </c>
      <c r="CR64" s="85">
        <f>AY64/Weights!$B$15*8/'Data and calc.'!$CI64*2</f>
        <v>0.20266317447765303</v>
      </c>
      <c r="CS64" s="85">
        <f>AZ64/Weights!$B$16*8/'Data and calc.'!$CI64*2</f>
        <v>3.6039921110836374E-3</v>
      </c>
      <c r="CT64" s="85">
        <f>BA64/Weights!$B$6*8/'Data and calc.'!$CI64*2</f>
        <v>2.7902766076189373E-3</v>
      </c>
      <c r="CU64" s="85">
        <f t="shared" si="192"/>
        <v>7.9999999999999973</v>
      </c>
      <c r="CV64" s="85">
        <f t="shared" si="193"/>
        <v>13.697606320054401</v>
      </c>
      <c r="CW64" s="85">
        <f t="shared" si="194"/>
        <v>0.67234920500663209</v>
      </c>
      <c r="CX64" s="113"/>
      <c r="CY64" s="90">
        <f t="shared" si="88"/>
        <v>1.2677038533967146E-2</v>
      </c>
      <c r="CZ64" s="91">
        <f t="shared" si="195"/>
        <v>1.2518343017157225</v>
      </c>
      <c r="DA64" s="85">
        <f t="shared" si="135"/>
        <v>0.15183430171572243</v>
      </c>
      <c r="DB64" s="85">
        <f t="shared" si="136"/>
        <v>0.15183430171572243</v>
      </c>
      <c r="DC64" s="85">
        <f t="shared" si="196"/>
        <v>2.3053655177501031E-2</v>
      </c>
      <c r="DD64" s="117"/>
      <c r="DE64" s="97"/>
      <c r="DF64" s="91">
        <f t="shared" si="138"/>
        <v>1.2502584742341769</v>
      </c>
      <c r="DG64" s="85">
        <f t="shared" si="139"/>
        <v>0.15025847423417682</v>
      </c>
      <c r="DH64" s="85">
        <f t="shared" si="140"/>
        <v>0.15025847423417682</v>
      </c>
      <c r="DI64" s="85">
        <f t="shared" si="197"/>
        <v>2.257760907918278E-2</v>
      </c>
      <c r="DK64" s="117"/>
      <c r="DL64" s="99">
        <f>'Eq. 3 coef.'!$B$15+'Eq. 3 coef.'!$B$16*'Data and calc.'!G64^2+'Eq. 3 coef.'!$B$17*'Data and calc.'!G64+'Eq. 3 coef.'!$B$18*'Data and calc.'!BF64+'Eq. 3 coef.'!$B$19*'Data and calc.'!BG64+'Eq. 3 coef.'!$B$20*'Data and calc.'!BH64+'Eq. 3 coef.'!$B$21*'Data and calc.'!BI64+'Eq. 3 coef.'!$B$22*'Data and calc.'!BJ64+'Eq. 3 coef.'!$B$23*'Data and calc.'!BK64+'Eq. 3 coef.'!$B$24*'Data and calc.'!BL64+'Eq. 3 coef.'!$B$25*'Data and calc.'!BM64+'Eq. 3 coef.'!$B$26*'Data and calc.'!BN64+'Eq. 3 coef.'!$B$27*'Data and calc.'!BO64+'Eq. 3 coef.'!$B$28*'Data and calc.'!BP64</f>
        <v>1.1212117680441906</v>
      </c>
      <c r="DM64" s="85">
        <f t="shared" si="198"/>
        <v>2.121176804419056E-2</v>
      </c>
      <c r="DN64" s="85">
        <f t="shared" si="143"/>
        <v>2.121176804419056E-2</v>
      </c>
      <c r="DO64" s="85">
        <f t="shared" si="33"/>
        <v>4.4993910356054382E-4</v>
      </c>
      <c r="DP64" s="117"/>
      <c r="DQ64" s="99">
        <f>'Eq. 4 coef.'!$B$15+'Eq. 4 coef.'!$B$16*'Data and calc.'!G64^2+'Eq. 4 coef.'!$B$17*'Data and calc.'!G64+'Eq. 4 coef.'!$B$18*'Data and calc.'!O64+'Eq. 4 coef.'!$B$19*'Data and calc.'!P64+'Eq. 4 coef.'!$B$20*'Data and calc.'!Q64+'Eq. 4 coef.'!$B$21*'Data and calc.'!R64+'Eq. 4 coef.'!$B$22*'Data and calc.'!S64+'Eq. 4 coef.'!$B$23*'Data and calc.'!T64+'Eq. 4 coef.'!$B$24*'Data and calc.'!U64+'Eq. 4 coef.'!$B$25*'Data and calc.'!V64+'Eq. 4 coef.'!$B$26*'Data and calc.'!W64+'Eq. 4 coef.'!$B$27*'Data and calc.'!X64</f>
        <v>1.1598669793652334</v>
      </c>
      <c r="DR64" s="85">
        <f t="shared" si="199"/>
        <v>5.986697936523333E-2</v>
      </c>
      <c r="DS64" s="85">
        <f t="shared" si="145"/>
        <v>5.986697936523333E-2</v>
      </c>
      <c r="DT64" s="85">
        <f t="shared" si="200"/>
        <v>3.5840552183172732E-3</v>
      </c>
    </row>
    <row r="65" spans="1:125" s="51" customFormat="1" ht="15" x14ac:dyDescent="0.2">
      <c r="A65" s="66" t="s">
        <v>592</v>
      </c>
      <c r="B65" s="73">
        <v>1.31</v>
      </c>
      <c r="C65" s="73">
        <v>6.5500000000000003E-2</v>
      </c>
      <c r="D65" s="126">
        <f t="shared" si="111"/>
        <v>5</v>
      </c>
      <c r="E65" s="72">
        <f t="shared" si="112"/>
        <v>1.3273887931907995E-2</v>
      </c>
      <c r="F65" s="64">
        <f t="shared" si="113"/>
        <v>5.4719469418345668</v>
      </c>
      <c r="G65" s="73">
        <v>2.33921930178309</v>
      </c>
      <c r="H65" s="73">
        <v>8.7536914455868919E-2</v>
      </c>
      <c r="I65" s="126">
        <f t="shared" si="106"/>
        <v>3.7421422775172535</v>
      </c>
      <c r="J65" s="70">
        <v>1170</v>
      </c>
      <c r="K65" s="70">
        <v>205</v>
      </c>
      <c r="L65" s="73">
        <v>0.16328648113261537</v>
      </c>
      <c r="M65" s="70">
        <v>2.6</v>
      </c>
      <c r="N65" s="64">
        <f t="shared" si="147"/>
        <v>1.0259004599504471</v>
      </c>
      <c r="O65" s="76">
        <v>49.891433083300427</v>
      </c>
      <c r="P65" s="73">
        <v>1.0165811290959335</v>
      </c>
      <c r="Q65" s="73">
        <v>15.594157125937624</v>
      </c>
      <c r="R65" s="73">
        <v>9.4551914725621788</v>
      </c>
      <c r="S65" s="73">
        <v>0.16778523489932889</v>
      </c>
      <c r="T65" s="73">
        <v>9.5144097907619418</v>
      </c>
      <c r="U65" s="73">
        <v>12.041058033951835</v>
      </c>
      <c r="V65" s="73">
        <v>2.1910777733912359</v>
      </c>
      <c r="W65" s="73">
        <v>5.9218318199763122E-2</v>
      </c>
      <c r="X65" s="73">
        <v>6.9088037899723648E-2</v>
      </c>
      <c r="Y65" s="73">
        <f t="shared" si="148"/>
        <v>99.999999999999986</v>
      </c>
      <c r="Z65" s="73">
        <v>2.2502960915909989</v>
      </c>
      <c r="AA65" s="73">
        <v>0.68597285777445993</v>
      </c>
      <c r="AB65" s="59">
        <f t="shared" si="149"/>
        <v>4.0086715134636508</v>
      </c>
      <c r="AC65" s="60">
        <f t="shared" si="150"/>
        <v>5.8437756946669985</v>
      </c>
      <c r="AD65" s="57">
        <f t="shared" si="151"/>
        <v>100.39725573556848</v>
      </c>
      <c r="AE65" s="57"/>
      <c r="AF65" s="57">
        <f t="shared" si="152"/>
        <v>49.237855309909193</v>
      </c>
      <c r="AG65" s="57">
        <f t="shared" si="153"/>
        <v>1.0032639163047767</v>
      </c>
      <c r="AH65" s="57">
        <f t="shared" si="154"/>
        <v>15.389873667587841</v>
      </c>
      <c r="AI65" s="57">
        <f t="shared" si="155"/>
        <v>9.3313284642716141</v>
      </c>
      <c r="AJ65" s="57">
        <f t="shared" si="156"/>
        <v>0.16558724832214769</v>
      </c>
      <c r="AK65" s="57">
        <f t="shared" si="157"/>
        <v>9.3897710225029609</v>
      </c>
      <c r="AL65" s="57">
        <f t="shared" si="158"/>
        <v>11.883320173707066</v>
      </c>
      <c r="AM65" s="57">
        <f t="shared" si="159"/>
        <v>2.1623746545598106</v>
      </c>
      <c r="AN65" s="57">
        <f t="shared" si="160"/>
        <v>5.8442558231346226E-2</v>
      </c>
      <c r="AO65" s="57">
        <f t="shared" si="161"/>
        <v>6.8182984603237268E-2</v>
      </c>
      <c r="AP65" s="57">
        <f t="shared" si="162"/>
        <v>98.689999999999984</v>
      </c>
      <c r="AQ65" s="57"/>
      <c r="AR65" s="84">
        <f t="shared" si="163"/>
        <v>49.043029064055716</v>
      </c>
      <c r="AS65" s="85">
        <f t="shared" si="164"/>
        <v>0.99929416292734685</v>
      </c>
      <c r="AT65" s="85">
        <f t="shared" si="165"/>
        <v>15.328978421603964</v>
      </c>
      <c r="AU65" s="85">
        <f t="shared" si="166"/>
        <v>9.2944059037320237</v>
      </c>
      <c r="AV65" s="85">
        <f t="shared" si="167"/>
        <v>0.16493204630839711</v>
      </c>
      <c r="AW65" s="85">
        <f t="shared" si="168"/>
        <v>9.3526172141938115</v>
      </c>
      <c r="AX65" s="85">
        <f t="shared" si="169"/>
        <v>11.836299793896732</v>
      </c>
      <c r="AY65" s="85">
        <f t="shared" si="170"/>
        <v>2.1538184870861268</v>
      </c>
      <c r="AZ65" s="85">
        <f t="shared" si="171"/>
        <v>5.8211310461787201E-2</v>
      </c>
      <c r="BA65" s="85">
        <f t="shared" si="172"/>
        <v>6.7913195538751733E-2</v>
      </c>
      <c r="BB65" s="85">
        <f t="shared" si="173"/>
        <v>98.299499599804662</v>
      </c>
      <c r="BC65" s="85">
        <f t="shared" si="174"/>
        <v>3.940504038334685</v>
      </c>
      <c r="BD65" s="85">
        <f t="shared" si="175"/>
        <v>5.7444022655926679</v>
      </c>
      <c r="BE65" s="85">
        <f t="shared" si="176"/>
        <v>99.999999999999986</v>
      </c>
      <c r="BF65" s="84">
        <f t="shared" si="177"/>
        <v>49.6940207356933</v>
      </c>
      <c r="BG65" s="85">
        <f t="shared" si="178"/>
        <v>1.0125586816570542</v>
      </c>
      <c r="BH65" s="85">
        <f t="shared" si="179"/>
        <v>15.532453563282971</v>
      </c>
      <c r="BI65" s="85">
        <f t="shared" si="180"/>
        <v>3.9928098473347706</v>
      </c>
      <c r="BJ65" s="85">
        <f t="shared" si="181"/>
        <v>5.8206528175019434</v>
      </c>
      <c r="BK65" s="85">
        <f t="shared" si="182"/>
        <v>0.16712133580747501</v>
      </c>
      <c r="BL65" s="85">
        <f t="shared" si="183"/>
        <v>9.4767628069650538</v>
      </c>
      <c r="BM65" s="85">
        <f t="shared" si="184"/>
        <v>11.993413510889384</v>
      </c>
      <c r="BN65" s="85">
        <f t="shared" si="185"/>
        <v>2.1824080323093797</v>
      </c>
      <c r="BO65" s="85">
        <f t="shared" si="186"/>
        <v>5.8984000873226465E-2</v>
      </c>
      <c r="BP65" s="85">
        <f t="shared" si="187"/>
        <v>6.8814667685430875E-2</v>
      </c>
      <c r="BQ65" s="85">
        <f t="shared" si="188"/>
        <v>99.999999999999986</v>
      </c>
      <c r="BR65" s="85"/>
      <c r="BS65" s="82">
        <f>AR65/Weights!$B$5*2+AS65/Weights!$B$7*2+AT65/Weights!$B$8*3+'Data and calc.'!BC65/Weights!$B$20*3+'Data and calc.'!BD65/Weights!$B$10+'Data and calc.'!AV65/Weights!$B$11+'Data and calc.'!AW65/Weights!$B$13+'Data and calc.'!AX65/Weights!$B$14+'Data and calc.'!AY65/Weights!$B$15+AZ65/Weights!$B$16+B65/Weights!$B$19+'Data and calc.'!BA65/Weights!$B$6*5</f>
        <v>2.8184762556132199</v>
      </c>
      <c r="BT65" s="84">
        <f>AR65/Weights!$B$5*8/'Data and calc.'!$BS65</f>
        <v>2.3168679567803321</v>
      </c>
      <c r="BU65" s="85">
        <f>AS65/Weights!$B$7*8/'Data and calc.'!$BS65</f>
        <v>3.5515052514285432E-2</v>
      </c>
      <c r="BV65" s="85">
        <f>AT65/Weights!$B$8*8/'Data and calc.'!$BS65*2</f>
        <v>0.8534707866907596</v>
      </c>
      <c r="BW65" s="85">
        <f>BC65/Weights!$B$20*8/'Data and calc.'!$BS65*2</f>
        <v>0.14008376870391578</v>
      </c>
      <c r="BX65" s="85">
        <f>BD65/Weights!$B$10*8/'Data and calc.'!$BS65</f>
        <v>0.22694987463402785</v>
      </c>
      <c r="BY65" s="85">
        <f>AV65/Weights!$B$11*8/'Data and calc.'!$BS65</f>
        <v>6.5994473237927986E-3</v>
      </c>
      <c r="BZ65" s="85">
        <f>AW65/Weights!$B$13*8/'Data and calc.'!$BS65</f>
        <v>0.65865897840670207</v>
      </c>
      <c r="CA65" s="85">
        <f>AX65/Weights!$B$14*8/'Data and calc.'!$BS65</f>
        <v>0.59911030728122538</v>
      </c>
      <c r="CB65" s="85">
        <f>AY65/Weights!$B$15*8/'Data and calc.'!$BS65*2</f>
        <v>0.19727559917922691</v>
      </c>
      <c r="CC65" s="85">
        <f>AZ65/Weights!$B$16*8/'Data and calc.'!$BS65*2</f>
        <v>3.5081839854908059E-3</v>
      </c>
      <c r="CD65" s="85">
        <f>BA65/Weights!$B$6*8/'Data and calc.'!$BS65*2</f>
        <v>2.7161002045021404E-3</v>
      </c>
      <c r="CE65" s="85">
        <f>B65/Weights!$B$19*8/'Data and calc.'!$BS65*2</f>
        <v>0.4128027971587801</v>
      </c>
      <c r="CF65" s="85">
        <f t="shared" si="189"/>
        <v>13.383750258757173</v>
      </c>
      <c r="CG65" s="85">
        <f t="shared" si="190"/>
        <v>0.78191827870696506</v>
      </c>
      <c r="CH65" s="85">
        <f t="shared" si="191"/>
        <v>8.1893032036660637E-2</v>
      </c>
      <c r="CI65" s="85">
        <f>AR65/Weights!$B$5*2+AS65/Weights!$B$7*2+AT65/Weights!$B$8*3+'Data and calc.'!BC65/Weights!$B$20*3+'Data and calc.'!BD65/Weights!$B$10+'Data and calc.'!AV65/Weights!$B$11+'Data and calc.'!AW65/Weights!$B$13+'Data and calc.'!AX65/Weights!$B$14+'Data and calc.'!AY65/Weights!$B$15+AZ65/Weights!$B$16+'Data and calc.'!BA65/Weights!$B$6*5</f>
        <v>2.7457590754855485</v>
      </c>
      <c r="CJ65" s="84">
        <f>AR65/Weights!$B$5*8/'Data and calc.'!$CI65</f>
        <v>2.3782266193262922</v>
      </c>
      <c r="CK65" s="85">
        <f>AS65/Weights!$B$7*8/'Data and calc.'!$CI65</f>
        <v>3.6455613721560441E-2</v>
      </c>
      <c r="CL65" s="85">
        <f>AT65/Weights!$B$8*8/'Data and calc.'!$CI65*2</f>
        <v>0.87607363975372277</v>
      </c>
      <c r="CM65" s="85">
        <f>BC65/Weights!$B$20*8/'Data and calc.'!$CI65*2</f>
        <v>0.14379367054226422</v>
      </c>
      <c r="CN65" s="85">
        <f>BD65/Weights!$B$10*8/'Data and calc.'!$CI65</f>
        <v>0.23296029086502829</v>
      </c>
      <c r="CO65" s="85">
        <f>AV65/Weights!$B$11*8/'Data and calc.'!$CI65</f>
        <v>6.7742234737004359E-3</v>
      </c>
      <c r="CP65" s="85">
        <f>AW65/Weights!$B$13*8/'Data and calc.'!$CI65</f>
        <v>0.67610254219317101</v>
      </c>
      <c r="CQ65" s="85">
        <f>AX65/Weights!$B$14*8/'Data and calc.'!$CI65</f>
        <v>0.61497681666286486</v>
      </c>
      <c r="CR65" s="85">
        <f>AY65/Weights!$B$15*8/'Data and calc.'!$CI65*2</f>
        <v>0.20250013814493109</v>
      </c>
      <c r="CS65" s="85">
        <f>AZ65/Weights!$B$16*8/'Data and calc.'!$CI65*2</f>
        <v>3.6010928095284119E-3</v>
      </c>
      <c r="CT65" s="85">
        <f>BA65/Weights!$B$6*8/'Data and calc.'!$CI65*2</f>
        <v>2.7880319153281027E-3</v>
      </c>
      <c r="CU65" s="85">
        <f t="shared" si="192"/>
        <v>8</v>
      </c>
      <c r="CV65" s="85">
        <f t="shared" si="193"/>
        <v>13.738198173375359</v>
      </c>
      <c r="CW65" s="85">
        <f t="shared" si="194"/>
        <v>0.65854395112978203</v>
      </c>
      <c r="CX65" s="113"/>
      <c r="CY65" s="90">
        <f t="shared" si="88"/>
        <v>1.6470678188352406E-2</v>
      </c>
      <c r="CZ65" s="91">
        <f t="shared" si="195"/>
        <v>1.6203790765226957</v>
      </c>
      <c r="DA65" s="85">
        <f t="shared" si="135"/>
        <v>0.3103790765226957</v>
      </c>
      <c r="DB65" s="85">
        <f t="shared" si="136"/>
        <v>0.3103790765226957</v>
      </c>
      <c r="DC65" s="85">
        <f t="shared" si="196"/>
        <v>9.6335171143081391E-2</v>
      </c>
      <c r="DD65" s="117"/>
      <c r="DE65" s="97"/>
      <c r="DF65" s="91">
        <f t="shared" si="138"/>
        <v>1.6229702565311854</v>
      </c>
      <c r="DG65" s="85">
        <f t="shared" si="139"/>
        <v>0.31297025653118538</v>
      </c>
      <c r="DH65" s="85">
        <f t="shared" si="140"/>
        <v>0.31297025653118538</v>
      </c>
      <c r="DI65" s="85">
        <f t="shared" si="197"/>
        <v>9.7950381473195985E-2</v>
      </c>
      <c r="DJ65" s="79"/>
      <c r="DK65" s="117"/>
      <c r="DL65" s="99">
        <f>'Eq. 3 coef.'!$B$15+'Eq. 3 coef.'!$B$16*'Data and calc.'!G65^2+'Eq. 3 coef.'!$B$17*'Data and calc.'!G65+'Eq. 3 coef.'!$B$18*'Data and calc.'!BF65+'Eq. 3 coef.'!$B$19*'Data and calc.'!BG65+'Eq. 3 coef.'!$B$20*'Data and calc.'!BH65+'Eq. 3 coef.'!$B$21*'Data and calc.'!BI65+'Eq. 3 coef.'!$B$22*'Data and calc.'!BJ65+'Eq. 3 coef.'!$B$23*'Data and calc.'!BK65+'Eq. 3 coef.'!$B$24*'Data and calc.'!BL65+'Eq. 3 coef.'!$B$25*'Data and calc.'!BM65+'Eq. 3 coef.'!$B$26*'Data and calc.'!BN65+'Eq. 3 coef.'!$B$27*'Data and calc.'!BO65+'Eq. 3 coef.'!$B$28*'Data and calc.'!BP65</f>
        <v>1.4957507069653957</v>
      </c>
      <c r="DM65" s="85">
        <f t="shared" si="198"/>
        <v>0.18575070696539564</v>
      </c>
      <c r="DN65" s="85">
        <f t="shared" si="143"/>
        <v>0.18575070696539564</v>
      </c>
      <c r="DO65" s="85">
        <f t="shared" si="33"/>
        <v>3.4503325138144282E-2</v>
      </c>
      <c r="DP65" s="117"/>
      <c r="DQ65" s="99">
        <f>'Eq. 4 coef.'!$B$15+'Eq. 4 coef.'!$B$16*'Data and calc.'!G65^2+'Eq. 4 coef.'!$B$17*'Data and calc.'!G65+'Eq. 4 coef.'!$B$18*'Data and calc.'!O65+'Eq. 4 coef.'!$B$19*'Data and calc.'!P65+'Eq. 4 coef.'!$B$20*'Data and calc.'!Q65+'Eq. 4 coef.'!$B$21*'Data and calc.'!R65+'Eq. 4 coef.'!$B$22*'Data and calc.'!S65+'Eq. 4 coef.'!$B$23*'Data and calc.'!T65+'Eq. 4 coef.'!$B$24*'Data and calc.'!U65+'Eq. 4 coef.'!$B$25*'Data and calc.'!V65+'Eq. 4 coef.'!$B$26*'Data and calc.'!W65+'Eq. 4 coef.'!$B$27*'Data and calc.'!X65</f>
        <v>1.5285867234538273</v>
      </c>
      <c r="DR65" s="85">
        <f t="shared" si="199"/>
        <v>0.21858672345382724</v>
      </c>
      <c r="DS65" s="85">
        <f t="shared" si="145"/>
        <v>0.21858672345382724</v>
      </c>
      <c r="DT65" s="85">
        <f t="shared" si="200"/>
        <v>4.7780155670279947E-2</v>
      </c>
      <c r="DU65" s="53"/>
    </row>
    <row r="66" spans="1:125" ht="15" x14ac:dyDescent="0.2">
      <c r="A66" s="66" t="s">
        <v>595</v>
      </c>
      <c r="B66" s="73">
        <v>0.47</v>
      </c>
      <c r="C66" s="73">
        <v>2.35E-2</v>
      </c>
      <c r="D66" s="126">
        <f t="shared" si="111"/>
        <v>5.0000000000000009</v>
      </c>
      <c r="E66" s="72">
        <f t="shared" si="112"/>
        <v>4.7221943132723801E-3</v>
      </c>
      <c r="F66" s="64">
        <f t="shared" si="113"/>
        <v>0.75506286017146973</v>
      </c>
      <c r="G66" s="73">
        <v>0.86894353106025812</v>
      </c>
      <c r="H66" s="73">
        <v>4.1927762502318909E-2</v>
      </c>
      <c r="I66" s="126">
        <f t="shared" si="106"/>
        <v>4.8251423715831043</v>
      </c>
      <c r="J66" s="70" t="s">
        <v>576</v>
      </c>
      <c r="K66" s="70" t="s">
        <v>576</v>
      </c>
      <c r="L66" s="73"/>
      <c r="M66" s="70">
        <v>2.6</v>
      </c>
      <c r="N66" s="64"/>
      <c r="O66" s="76">
        <v>49.694969496949696</v>
      </c>
      <c r="P66" s="73">
        <v>1.3201320132013201</v>
      </c>
      <c r="Q66" s="73">
        <v>17.711771177117715</v>
      </c>
      <c r="R66" s="73">
        <v>9.0509050905090529</v>
      </c>
      <c r="S66" s="73">
        <v>0.18001800180018002</v>
      </c>
      <c r="T66" s="73">
        <v>6.9806980698069809</v>
      </c>
      <c r="U66" s="73">
        <v>12.251225122512253</v>
      </c>
      <c r="V66" s="73">
        <v>2.5102510251025101</v>
      </c>
      <c r="W66" s="73">
        <v>0.21002100210021005</v>
      </c>
      <c r="X66" s="73">
        <v>0.09</v>
      </c>
      <c r="Y66" s="73">
        <f t="shared" si="148"/>
        <v>99.999990999099893</v>
      </c>
      <c r="Z66" s="73">
        <v>2.7202720272027201</v>
      </c>
      <c r="AA66" s="73"/>
      <c r="AF66" s="57">
        <f t="shared" si="152"/>
        <v>49.461403140314033</v>
      </c>
      <c r="AG66" s="57">
        <f t="shared" si="153"/>
        <v>1.3139273927392738</v>
      </c>
      <c r="AH66" s="57">
        <f t="shared" si="154"/>
        <v>17.628525852585263</v>
      </c>
      <c r="AI66" s="57">
        <f t="shared" si="155"/>
        <v>9.0083658365836605</v>
      </c>
      <c r="AJ66" s="57">
        <f t="shared" si="156"/>
        <v>0.17917191719171918</v>
      </c>
      <c r="AK66" s="57">
        <f t="shared" si="157"/>
        <v>6.9478887888788883</v>
      </c>
      <c r="AL66" s="57">
        <f t="shared" si="158"/>
        <v>12.193644364436445</v>
      </c>
      <c r="AM66" s="57">
        <f t="shared" si="159"/>
        <v>2.498452845284528</v>
      </c>
      <c r="AN66" s="57">
        <f t="shared" si="160"/>
        <v>0.20903390339033906</v>
      </c>
      <c r="AO66" s="57">
        <f t="shared" si="161"/>
        <v>8.957699999999999E-2</v>
      </c>
      <c r="AP66" s="57">
        <f t="shared" si="162"/>
        <v>99.529991041404145</v>
      </c>
      <c r="AR66" s="84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4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2"/>
      <c r="BT66" s="84"/>
      <c r="BU66" s="85"/>
      <c r="BV66" s="85"/>
      <c r="BW66" s="85"/>
      <c r="BX66" s="85"/>
      <c r="BY66" s="85"/>
      <c r="BZ66" s="85"/>
      <c r="CA66" s="85"/>
      <c r="CB66" s="85"/>
      <c r="CC66" s="85"/>
      <c r="CD66" s="85"/>
      <c r="CE66" s="85"/>
      <c r="CF66" s="85"/>
      <c r="CG66" s="85"/>
      <c r="CH66" s="85"/>
      <c r="CI66" s="85"/>
      <c r="CJ66" s="84"/>
      <c r="CK66" s="85"/>
      <c r="CL66" s="85"/>
      <c r="CM66" s="85"/>
      <c r="CN66" s="85"/>
      <c r="CO66" s="85"/>
      <c r="CP66" s="85"/>
      <c r="CQ66" s="85"/>
      <c r="CR66" s="85"/>
      <c r="CS66" s="85"/>
      <c r="CT66" s="85"/>
      <c r="CU66" s="85"/>
      <c r="CV66" s="85"/>
      <c r="CW66" s="85"/>
      <c r="CX66" s="113"/>
      <c r="CY66" s="90">
        <f t="shared" si="88"/>
        <v>3.811603802428822E-3</v>
      </c>
      <c r="CZ66" s="91">
        <f t="shared" si="195"/>
        <v>0.37971306448246894</v>
      </c>
      <c r="DA66" s="85">
        <f t="shared" si="135"/>
        <v>-9.0286935517531031E-2</v>
      </c>
      <c r="DB66" s="85">
        <f t="shared" si="136"/>
        <v>9.0286935517531031E-2</v>
      </c>
      <c r="DC66" s="85">
        <f t="shared" si="196"/>
        <v>8.1517307251468066E-3</v>
      </c>
      <c r="DD66" s="117"/>
      <c r="DE66" s="97"/>
      <c r="DF66" s="91">
        <f t="shared" si="138"/>
        <v>0.36622599114618487</v>
      </c>
      <c r="DG66" s="85">
        <f t="shared" si="139"/>
        <v>-0.1037740088538151</v>
      </c>
      <c r="DH66" s="85">
        <f t="shared" si="140"/>
        <v>0.1037740088538151</v>
      </c>
      <c r="DI66" s="85">
        <f t="shared" ref="DI66:DI77" si="201">DG66^2</f>
        <v>1.0769044913591696E-2</v>
      </c>
      <c r="DK66" s="117"/>
      <c r="DL66" s="99"/>
      <c r="DM66" s="85"/>
      <c r="DN66" s="85"/>
      <c r="DO66" s="85"/>
      <c r="DP66" s="117"/>
      <c r="DQ66" s="99">
        <f>'Eq. 4 coef.'!$B$15+'Eq. 4 coef.'!$B$16*'Data and calc.'!G66^2+'Eq. 4 coef.'!$B$17*'Data and calc.'!G66+'Eq. 4 coef.'!$B$18*'Data and calc.'!O66+'Eq. 4 coef.'!$B$19*'Data and calc.'!P66+'Eq. 4 coef.'!$B$20*'Data and calc.'!Q66+'Eq. 4 coef.'!$B$21*'Data and calc.'!R66+'Eq. 4 coef.'!$B$22*'Data and calc.'!S66+'Eq. 4 coef.'!$B$23*'Data and calc.'!T66+'Eq. 4 coef.'!$B$24*'Data and calc.'!U66+'Eq. 4 coef.'!$B$25*'Data and calc.'!V66+'Eq. 4 coef.'!$B$26*'Data and calc.'!W66+'Eq. 4 coef.'!$B$27*'Data and calc.'!X66</f>
        <v>0.29179531760792088</v>
      </c>
      <c r="DR66" s="85">
        <f t="shared" si="199"/>
        <v>-0.17820468239207909</v>
      </c>
      <c r="DS66" s="85">
        <f t="shared" si="145"/>
        <v>0.17820468239207909</v>
      </c>
      <c r="DT66" s="85">
        <f t="shared" si="200"/>
        <v>3.1756908826461788E-2</v>
      </c>
    </row>
    <row r="67" spans="1:125" ht="15" x14ac:dyDescent="0.2">
      <c r="A67" s="66" t="s">
        <v>596</v>
      </c>
      <c r="B67" s="73">
        <v>1.35</v>
      </c>
      <c r="C67" s="73">
        <v>0.05</v>
      </c>
      <c r="D67" s="126">
        <f t="shared" si="111"/>
        <v>3.7037037037037033</v>
      </c>
      <c r="E67" s="72">
        <f t="shared" si="112"/>
        <v>1.368474404460213E-2</v>
      </c>
      <c r="F67" s="64">
        <f t="shared" si="113"/>
        <v>4.699092082319229</v>
      </c>
      <c r="G67" s="73">
        <v>2.1677389331557499</v>
      </c>
      <c r="H67" s="73">
        <v>5.4736622249076806E-2</v>
      </c>
      <c r="I67" s="126">
        <f t="shared" si="106"/>
        <v>2.5250560116753706</v>
      </c>
      <c r="J67" s="70">
        <v>1170</v>
      </c>
      <c r="K67" s="70">
        <v>204</v>
      </c>
      <c r="L67" s="73">
        <v>0.16464993453799306</v>
      </c>
      <c r="M67" s="70">
        <v>2.6</v>
      </c>
      <c r="N67" s="64">
        <f>M67+2*LOG(L67)</f>
        <v>1.0331231247597581</v>
      </c>
      <c r="O67" s="76">
        <v>49.498143101553232</v>
      </c>
      <c r="P67" s="73">
        <v>1.3394878132998955</v>
      </c>
      <c r="Q67" s="73">
        <v>17.941630513380865</v>
      </c>
      <c r="R67" s="73">
        <v>8.9878849676918584</v>
      </c>
      <c r="S67" s="73">
        <v>0.15268517340559423</v>
      </c>
      <c r="T67" s="73">
        <v>7.0654731536974476</v>
      </c>
      <c r="U67" s="73">
        <v>12.262062852899509</v>
      </c>
      <c r="V67" s="73">
        <v>2.5350484338387154</v>
      </c>
      <c r="W67" s="73">
        <v>0.21758399023288164</v>
      </c>
      <c r="X67" s="73">
        <v>0</v>
      </c>
      <c r="Y67" s="73">
        <f t="shared" si="148"/>
        <v>100</v>
      </c>
      <c r="Z67" s="73">
        <v>2.7526324240715971</v>
      </c>
      <c r="AA67" s="73">
        <v>0.69198691639235066</v>
      </c>
      <c r="AB67" s="59">
        <f>(R67-AC67)*1.11</f>
        <v>3.8311286332248562</v>
      </c>
      <c r="AC67" s="60">
        <f>R67*1.11/(AA67+1.11)</f>
        <v>5.5364177305523485</v>
      </c>
      <c r="AD67" s="57">
        <f>100-R67+AB67+AC67</f>
        <v>100.37966139608534</v>
      </c>
      <c r="AE67" s="57"/>
      <c r="AF67" s="57">
        <f t="shared" si="152"/>
        <v>48.829918169682266</v>
      </c>
      <c r="AG67" s="57">
        <f t="shared" si="153"/>
        <v>1.3214047278203469</v>
      </c>
      <c r="AH67" s="57">
        <f t="shared" si="154"/>
        <v>17.699418501450225</v>
      </c>
      <c r="AI67" s="57">
        <f t="shared" si="155"/>
        <v>8.8665485206280188</v>
      </c>
      <c r="AJ67" s="57">
        <f t="shared" si="156"/>
        <v>0.15062392356461873</v>
      </c>
      <c r="AK67" s="57">
        <f t="shared" si="157"/>
        <v>6.9700892661225327</v>
      </c>
      <c r="AL67" s="57">
        <f t="shared" si="158"/>
        <v>12.096525004385366</v>
      </c>
      <c r="AM67" s="57">
        <f t="shared" si="159"/>
        <v>2.5008252799818926</v>
      </c>
      <c r="AN67" s="57">
        <f t="shared" si="160"/>
        <v>0.21464660636473773</v>
      </c>
      <c r="AO67" s="57">
        <f t="shared" si="161"/>
        <v>0</v>
      </c>
      <c r="AP67" s="57">
        <f t="shared" si="162"/>
        <v>98.65</v>
      </c>
      <c r="AQ67" s="57"/>
      <c r="AR67" s="84">
        <f t="shared" ref="AR67:BA67" si="202">O67*(100-$B67)/$AD67</f>
        <v>48.645231006514003</v>
      </c>
      <c r="AS67" s="85">
        <f t="shared" si="202"/>
        <v>1.3164068392363393</v>
      </c>
      <c r="AT67" s="85">
        <f t="shared" si="202"/>
        <v>17.632474801454627</v>
      </c>
      <c r="AU67" s="85">
        <f t="shared" si="202"/>
        <v>8.8330129802308743</v>
      </c>
      <c r="AV67" s="85">
        <f t="shared" si="202"/>
        <v>0.15005422559683274</v>
      </c>
      <c r="AW67" s="85">
        <f t="shared" si="202"/>
        <v>6.9437266167091858</v>
      </c>
      <c r="AX67" s="85">
        <f t="shared" si="202"/>
        <v>12.050772871860985</v>
      </c>
      <c r="AY67" s="85">
        <f t="shared" si="202"/>
        <v>2.4913665230588449</v>
      </c>
      <c r="AZ67" s="85">
        <f t="shared" si="202"/>
        <v>0.21383475833592386</v>
      </c>
      <c r="BA67" s="85">
        <f t="shared" si="202"/>
        <v>0</v>
      </c>
      <c r="BB67" s="85">
        <f>SUM(AR67:BA67)</f>
        <v>98.276880622997609</v>
      </c>
      <c r="BC67" s="85">
        <f>AB67*(100-$B67)/$AD67</f>
        <v>3.7651137133878718</v>
      </c>
      <c r="BD67" s="85">
        <f>AC67*(100-$B67)/$AD67</f>
        <v>5.4410186438454042</v>
      </c>
      <c r="BE67" s="85">
        <f>BB67+BC67+BD67+B67-AU67</f>
        <v>100.00000000000001</v>
      </c>
      <c r="BF67" s="84">
        <f>AR67*100/(100-$B67)</f>
        <v>49.310928541828687</v>
      </c>
      <c r="BG67" s="85">
        <f>AS67*100/(100-$B67)</f>
        <v>1.3344215298898523</v>
      </c>
      <c r="BH67" s="85">
        <f>AT67*100/(100-$B67)</f>
        <v>17.873770705985429</v>
      </c>
      <c r="BI67" s="85">
        <f>BC67*100/(100-$B67)</f>
        <v>3.8166383308544058</v>
      </c>
      <c r="BJ67" s="85">
        <f>BD67*100/(100-$B67)</f>
        <v>5.5154775913283371</v>
      </c>
      <c r="BK67" s="85">
        <f t="shared" ref="BK67:BP67" si="203">AV67*100/(100-$B67)</f>
        <v>0.15210767926693636</v>
      </c>
      <c r="BL67" s="85">
        <f t="shared" si="203"/>
        <v>7.0387497381745412</v>
      </c>
      <c r="BM67" s="85">
        <f t="shared" si="203"/>
        <v>12.215684614152037</v>
      </c>
      <c r="BN67" s="85">
        <f t="shared" si="203"/>
        <v>2.5254602362481955</v>
      </c>
      <c r="BO67" s="85">
        <f t="shared" si="203"/>
        <v>0.2167610322715903</v>
      </c>
      <c r="BP67" s="85">
        <f t="shared" si="203"/>
        <v>0</v>
      </c>
      <c r="BQ67" s="85">
        <f>SUM(BF67:BP67)</f>
        <v>100</v>
      </c>
      <c r="BR67" s="85"/>
      <c r="BS67" s="82">
        <f>AR67/Weights!$B$5*2+AS67/Weights!$B$7*2+AT67/Weights!$B$8*3+'Data and calc.'!BC67/Weights!$B$20*3+'Data and calc.'!BD67/Weights!$B$10+'Data and calc.'!AV67/Weights!$B$11+'Data and calc.'!AW67/Weights!$B$13+'Data and calc.'!AX67/Weights!$B$14+'Data and calc.'!AY67/Weights!$B$15+AZ67/Weights!$B$16+B67/Weights!$B$19+'Data and calc.'!BA67/Weights!$B$6*5</f>
        <v>2.824207749637464</v>
      </c>
      <c r="BT67" s="84">
        <f>AR67/Weights!$B$5*8/'Data and calc.'!$BS67</f>
        <v>2.293411613818729</v>
      </c>
      <c r="BU67" s="85">
        <f>AS67/Weights!$B$7*8/'Data and calc.'!$BS67</f>
        <v>4.6690333986852198E-2</v>
      </c>
      <c r="BV67" s="85">
        <f>AT67/Weights!$B$8*8/'Data and calc.'!$BS67*2</f>
        <v>0.97973011889742345</v>
      </c>
      <c r="BW67" s="85">
        <f>BC67/Weights!$B$20*8/'Data and calc.'!$BS67*2</f>
        <v>0.13357705907375145</v>
      </c>
      <c r="BX67" s="85">
        <f>BD67/Weights!$B$10*8/'Data and calc.'!$BS67</f>
        <v>0.21452754184074879</v>
      </c>
      <c r="BY67" s="85">
        <f>AV67/Weights!$B$11*8/'Data and calc.'!$BS67</f>
        <v>5.9919542577930333E-3</v>
      </c>
      <c r="BZ67" s="85">
        <f>AW67/Weights!$B$13*8/'Data and calc.'!$BS67</f>
        <v>0.48802021308934629</v>
      </c>
      <c r="CA67" s="85">
        <f>AX67/Weights!$B$14*8/'Data and calc.'!$BS67</f>
        <v>0.60872827649833339</v>
      </c>
      <c r="CB67" s="85">
        <f>AY67/Weights!$B$15*8/'Data and calc.'!$BS67*2</f>
        <v>0.22772967967102797</v>
      </c>
      <c r="CC67" s="85">
        <f>AZ67/Weights!$B$16*8/'Data and calc.'!$BS67*2</f>
        <v>1.2860890056657776E-2</v>
      </c>
      <c r="CD67" s="85">
        <f>BA67/Weights!$B$6*8/'Data and calc.'!$BS67*2</f>
        <v>0</v>
      </c>
      <c r="CE67" s="85">
        <f>B67/Weights!$B$19*8/'Data and calc.'!$BS67*2</f>
        <v>0.42454413376401923</v>
      </c>
      <c r="CF67" s="85">
        <f>SUM(BT67:BW67)*4</f>
        <v>13.813636503107025</v>
      </c>
      <c r="CG67" s="85">
        <f>(16-CF67)/SUM(BT67:BW67)</f>
        <v>0.63310294762750075</v>
      </c>
      <c r="CH67" s="85">
        <f>CE67/SUM(BT67:CD67)</f>
        <v>8.4717911868389506E-2</v>
      </c>
      <c r="CI67" s="85">
        <f>AR67/Weights!$B$5*2+AS67/Weights!$B$7*2+AT67/Weights!$B$8*3+'Data and calc.'!BC67/Weights!$B$20*3+'Data and calc.'!BD67/Weights!$B$10+'Data and calc.'!AV67/Weights!$B$11+'Data and calc.'!AW67/Weights!$B$13+'Data and calc.'!AX67/Weights!$B$14+'Data and calc.'!AY67/Weights!$B$15+AZ67/Weights!$B$16+'Data and calc.'!BA67/Weights!$B$6*5</f>
        <v>2.7492701975974971</v>
      </c>
      <c r="CJ67" s="84">
        <f>AR67/Weights!$B$5*8/'Data and calc.'!$CI67</f>
        <v>2.355923713324187</v>
      </c>
      <c r="CK67" s="85">
        <f>AS67/Weights!$B$7*8/'Data and calc.'!$CI67</f>
        <v>4.7962984210886461E-2</v>
      </c>
      <c r="CL67" s="85">
        <f>AT67/Weights!$B$8*8/'Data and calc.'!$CI67*2</f>
        <v>1.0064348701561963</v>
      </c>
      <c r="CM67" s="85">
        <f>BC67/Weights!$B$20*8/'Data and calc.'!$CI67*2</f>
        <v>0.13721800270469481</v>
      </c>
      <c r="CN67" s="85">
        <f>BD67/Weights!$B$10*8/'Data and calc.'!$CI67</f>
        <v>0.22037497322262817</v>
      </c>
      <c r="CO67" s="85">
        <f>AV67/Weights!$B$11*8/'Data and calc.'!$CI67</f>
        <v>6.1552784681259617E-3</v>
      </c>
      <c r="CP67" s="85">
        <f>AW67/Weights!$B$13*8/'Data and calc.'!$CI67</f>
        <v>0.50132230327564264</v>
      </c>
      <c r="CQ67" s="85">
        <f>AX67/Weights!$B$14*8/'Data and calc.'!$CI67</f>
        <v>0.625320536850974</v>
      </c>
      <c r="CR67" s="85">
        <f>AY67/Weights!$B$15*8/'Data and calc.'!$CI67*2</f>
        <v>0.23393696505763917</v>
      </c>
      <c r="CS67" s="85">
        <f>AZ67/Weights!$B$16*8/'Data and calc.'!$CI67*2</f>
        <v>1.3211442584649853E-2</v>
      </c>
      <c r="CT67" s="85">
        <f>BA67/Weights!$B$6*8/'Data and calc.'!$CI67*2</f>
        <v>0</v>
      </c>
      <c r="CU67" s="85">
        <f>CJ67*2+CK67*2+CL67*1.5+CM67*1.5+CN67+CO67+CP67+CQ67+CR67*0.5+CS67*0.5+CT67*2.5</f>
        <v>7.9999999999999991</v>
      </c>
      <c r="CV67" s="85">
        <f>SUM(CJ67:CM67)*4</f>
        <v>14.190158281583859</v>
      </c>
      <c r="CW67" s="85">
        <f>(16-CV67)/SUM(CJ67:CM67)</f>
        <v>0.51016815528124826</v>
      </c>
      <c r="CX67" s="113"/>
      <c r="CY67" s="90">
        <f t="shared" si="88"/>
        <v>1.4994232214471007E-2</v>
      </c>
      <c r="CZ67" s="91">
        <f t="shared" si="195"/>
        <v>1.4772726522551003</v>
      </c>
      <c r="DA67" s="85">
        <f t="shared" si="135"/>
        <v>0.1272726522551002</v>
      </c>
      <c r="DB67" s="85">
        <f t="shared" si="136"/>
        <v>0.1272726522551002</v>
      </c>
      <c r="DC67" s="85">
        <f t="shared" si="196"/>
        <v>1.6198328012047663E-2</v>
      </c>
      <c r="DD67" s="117"/>
      <c r="DE67" s="97"/>
      <c r="DF67" s="91">
        <f t="shared" si="138"/>
        <v>1.4783119743985336</v>
      </c>
      <c r="DG67" s="85">
        <f t="shared" si="139"/>
        <v>0.12831197439853348</v>
      </c>
      <c r="DH67" s="85">
        <f t="shared" si="140"/>
        <v>0.12831197439853348</v>
      </c>
      <c r="DI67" s="85">
        <f t="shared" si="201"/>
        <v>1.646396277404991E-2</v>
      </c>
      <c r="DK67" s="117"/>
      <c r="DL67" s="99">
        <f>'Eq. 3 coef.'!$B$15+'Eq. 3 coef.'!$B$16*'Data and calc.'!G67^2+'Eq. 3 coef.'!$B$17*'Data and calc.'!G67+'Eq. 3 coef.'!$B$18*'Data and calc.'!BF67+'Eq. 3 coef.'!$B$19*'Data and calc.'!BG67+'Eq. 3 coef.'!$B$20*'Data and calc.'!BH67+'Eq. 3 coef.'!$B$21*'Data and calc.'!BI67+'Eq. 3 coef.'!$B$22*'Data and calc.'!BJ67+'Eq. 3 coef.'!$B$23*'Data and calc.'!BK67+'Eq. 3 coef.'!$B$24*'Data and calc.'!BL67+'Eq. 3 coef.'!$B$25*'Data and calc.'!BM67+'Eq. 3 coef.'!$B$26*'Data and calc.'!BN67+'Eq. 3 coef.'!$B$27*'Data and calc.'!BO67+'Eq. 3 coef.'!$B$28*'Data and calc.'!BP67</f>
        <v>1.3582088160364947</v>
      </c>
      <c r="DM67" s="85">
        <f>DL67-B67</f>
        <v>8.2088160364945928E-3</v>
      </c>
      <c r="DN67" s="85">
        <f t="shared" si="143"/>
        <v>8.2088160364945928E-3</v>
      </c>
      <c r="DO67" s="85">
        <f t="shared" si="33"/>
        <v>6.7384660721010799E-5</v>
      </c>
      <c r="DP67" s="117"/>
      <c r="DQ67" s="99">
        <f>'Eq. 4 coef.'!$B$15+'Eq. 4 coef.'!$B$16*'Data and calc.'!G67^2+'Eq. 4 coef.'!$B$17*'Data and calc.'!G67+'Eq. 4 coef.'!$B$18*'Data and calc.'!O67+'Eq. 4 coef.'!$B$19*'Data and calc.'!P67+'Eq. 4 coef.'!$B$20*'Data and calc.'!Q67+'Eq. 4 coef.'!$B$21*'Data and calc.'!R67+'Eq. 4 coef.'!$B$22*'Data and calc.'!S67+'Eq. 4 coef.'!$B$23*'Data and calc.'!T67+'Eq. 4 coef.'!$B$24*'Data and calc.'!U67+'Eq. 4 coef.'!$B$25*'Data and calc.'!V67+'Eq. 4 coef.'!$B$26*'Data and calc.'!W67+'Eq. 4 coef.'!$B$27*'Data and calc.'!X67</f>
        <v>1.4503113402161034</v>
      </c>
      <c r="DR67" s="85">
        <f t="shared" si="199"/>
        <v>0.10031134021610333</v>
      </c>
      <c r="DS67" s="85">
        <f t="shared" si="145"/>
        <v>0.10031134021610333</v>
      </c>
      <c r="DT67" s="85">
        <f t="shared" si="200"/>
        <v>1.006236497595083E-2</v>
      </c>
    </row>
    <row r="68" spans="1:125" ht="15" x14ac:dyDescent="0.2">
      <c r="A68" s="66" t="s">
        <v>598</v>
      </c>
      <c r="B68" s="73">
        <v>0.32</v>
      </c>
      <c r="C68" s="73">
        <v>1.6E-2</v>
      </c>
      <c r="D68" s="126">
        <f t="shared" si="111"/>
        <v>5</v>
      </c>
      <c r="E68" s="72">
        <f t="shared" si="112"/>
        <v>3.2102728731942215E-3</v>
      </c>
      <c r="F68" s="64">
        <f t="shared" si="113"/>
        <v>0.57177938246841475</v>
      </c>
      <c r="G68" s="73">
        <v>0.75616095010812001</v>
      </c>
      <c r="H68" s="73">
        <v>4.5804931691179655E-2</v>
      </c>
      <c r="I68" s="126">
        <f t="shared" si="106"/>
        <v>6.0575637613434301</v>
      </c>
      <c r="J68" s="70" t="s">
        <v>576</v>
      </c>
      <c r="K68" s="70" t="s">
        <v>576</v>
      </c>
      <c r="L68" s="73"/>
      <c r="M68" s="70">
        <v>2.6</v>
      </c>
      <c r="N68" s="64"/>
      <c r="O68" s="76">
        <v>49.694969496949696</v>
      </c>
      <c r="P68" s="73">
        <v>1.3201320132013201</v>
      </c>
      <c r="Q68" s="73">
        <v>17.711771177117715</v>
      </c>
      <c r="R68" s="73">
        <v>9.0509050905090529</v>
      </c>
      <c r="S68" s="73">
        <v>0.18001800180018002</v>
      </c>
      <c r="T68" s="73">
        <v>6.9806980698069809</v>
      </c>
      <c r="U68" s="73">
        <v>12.251225122512253</v>
      </c>
      <c r="V68" s="73">
        <v>2.5102510251025101</v>
      </c>
      <c r="W68" s="73">
        <v>0.21002100210021005</v>
      </c>
      <c r="X68" s="73">
        <v>0.09</v>
      </c>
      <c r="Y68" s="73">
        <f t="shared" si="148"/>
        <v>99.999990999099893</v>
      </c>
      <c r="Z68" s="73">
        <v>2.7202720272027201</v>
      </c>
      <c r="AA68" s="73"/>
      <c r="AF68" s="57">
        <f t="shared" si="152"/>
        <v>49.535945594559465</v>
      </c>
      <c r="AG68" s="57">
        <f t="shared" si="153"/>
        <v>1.3159075907590758</v>
      </c>
      <c r="AH68" s="57">
        <f t="shared" si="154"/>
        <v>17.655093509350937</v>
      </c>
      <c r="AI68" s="57">
        <f t="shared" si="155"/>
        <v>9.0219421942194238</v>
      </c>
      <c r="AJ68" s="57">
        <f t="shared" si="156"/>
        <v>0.17944194419441944</v>
      </c>
      <c r="AK68" s="57">
        <f t="shared" si="157"/>
        <v>6.9583598359835994</v>
      </c>
      <c r="AL68" s="57">
        <f t="shared" si="158"/>
        <v>12.212021202120214</v>
      </c>
      <c r="AM68" s="57">
        <f t="shared" si="159"/>
        <v>2.5022182218221825</v>
      </c>
      <c r="AN68" s="57">
        <f t="shared" si="160"/>
        <v>0.20934893489348941</v>
      </c>
      <c r="AO68" s="57">
        <f t="shared" si="161"/>
        <v>8.9712E-2</v>
      </c>
      <c r="AP68" s="57">
        <f t="shared" si="162"/>
        <v>99.679991027902801</v>
      </c>
      <c r="AR68" s="84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4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2"/>
      <c r="BT68" s="84"/>
      <c r="BU68" s="85"/>
      <c r="BV68" s="85"/>
      <c r="BW68" s="85"/>
      <c r="BX68" s="85"/>
      <c r="BY68" s="85"/>
      <c r="BZ68" s="85"/>
      <c r="CA68" s="85"/>
      <c r="CB68" s="85"/>
      <c r="CC68" s="85"/>
      <c r="CD68" s="85"/>
      <c r="CE68" s="85"/>
      <c r="CF68" s="85"/>
      <c r="CG68" s="85"/>
      <c r="CH68" s="85"/>
      <c r="CI68" s="85"/>
      <c r="CJ68" s="84"/>
      <c r="CK68" s="85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85"/>
      <c r="CW68" s="85"/>
      <c r="CX68" s="113"/>
      <c r="CY68" s="90">
        <f t="shared" si="88"/>
        <v>2.8405457804309129E-3</v>
      </c>
      <c r="CZ68" s="91">
        <f t="shared" si="195"/>
        <v>0.28324999346933494</v>
      </c>
      <c r="DA68" s="85">
        <f t="shared" si="135"/>
        <v>-3.6750006530665069E-2</v>
      </c>
      <c r="DB68" s="85">
        <f t="shared" si="136"/>
        <v>3.6750006530665069E-2</v>
      </c>
      <c r="DC68" s="85">
        <f t="shared" si="196"/>
        <v>1.3505629800039253E-3</v>
      </c>
      <c r="DD68" s="117"/>
      <c r="DE68" s="97"/>
      <c r="DF68" s="91">
        <f t="shared" si="138"/>
        <v>0.26828584028285102</v>
      </c>
      <c r="DG68" s="85">
        <f t="shared" si="139"/>
        <v>-5.1714159717148989E-2</v>
      </c>
      <c r="DH68" s="85">
        <f t="shared" si="140"/>
        <v>5.1714159717148989E-2</v>
      </c>
      <c r="DI68" s="85">
        <f t="shared" si="201"/>
        <v>2.674354315250795E-3</v>
      </c>
      <c r="DK68" s="117"/>
      <c r="DL68" s="99"/>
      <c r="DM68" s="85"/>
      <c r="DN68" s="85"/>
      <c r="DO68" s="85"/>
      <c r="DP68" s="117"/>
      <c r="DQ68" s="99">
        <f>'Eq. 4 coef.'!$B$15+'Eq. 4 coef.'!$B$16*'Data and calc.'!G68^2+'Eq. 4 coef.'!$B$17*'Data and calc.'!G68+'Eq. 4 coef.'!$B$18*'Data and calc.'!O68+'Eq. 4 coef.'!$B$19*'Data and calc.'!P68+'Eq. 4 coef.'!$B$20*'Data and calc.'!Q68+'Eq. 4 coef.'!$B$21*'Data and calc.'!R68+'Eq. 4 coef.'!$B$22*'Data and calc.'!S68+'Eq. 4 coef.'!$B$23*'Data and calc.'!T68+'Eq. 4 coef.'!$B$24*'Data and calc.'!U68+'Eq. 4 coef.'!$B$25*'Data and calc.'!V68+'Eq. 4 coef.'!$B$26*'Data and calc.'!W68+'Eq. 4 coef.'!$B$27*'Data and calc.'!X68</f>
        <v>0.19474315090383243</v>
      </c>
      <c r="DR68" s="85">
        <f t="shared" si="199"/>
        <v>-0.12525684909616758</v>
      </c>
      <c r="DS68" s="85">
        <f t="shared" si="145"/>
        <v>0.12525684909616758</v>
      </c>
      <c r="DT68" s="85">
        <f t="shared" si="200"/>
        <v>1.5689278245500097E-2</v>
      </c>
    </row>
    <row r="69" spans="1:125" ht="15" x14ac:dyDescent="0.2">
      <c r="A69" s="66" t="s">
        <v>599</v>
      </c>
      <c r="B69" s="73">
        <v>0.44</v>
      </c>
      <c r="C69" s="73">
        <v>0.04</v>
      </c>
      <c r="D69" s="126">
        <f t="shared" si="111"/>
        <v>9.0909090909090917</v>
      </c>
      <c r="E69" s="72">
        <f t="shared" si="112"/>
        <v>4.4194455604660505E-3</v>
      </c>
      <c r="F69" s="64">
        <f t="shared" si="113"/>
        <v>0.80701419397342733</v>
      </c>
      <c r="G69" s="73">
        <v>0.89833968740862569</v>
      </c>
      <c r="H69" s="73">
        <v>3.2340269885313411E-2</v>
      </c>
      <c r="I69" s="126">
        <f t="shared" si="106"/>
        <v>3.6000045794039233</v>
      </c>
      <c r="J69" s="70">
        <v>1220</v>
      </c>
      <c r="K69" s="70">
        <v>205</v>
      </c>
      <c r="L69" s="73">
        <v>2.2227129514356677E-2</v>
      </c>
      <c r="M69" s="70">
        <v>2.6</v>
      </c>
      <c r="N69" s="64">
        <f>M69+2*LOG(L69)</f>
        <v>-0.70623323983541342</v>
      </c>
      <c r="O69" s="76">
        <v>49.994512823670419</v>
      </c>
      <c r="P69" s="73">
        <v>1.3676339136425937</v>
      </c>
      <c r="Q69" s="73">
        <v>17.893940777244271</v>
      </c>
      <c r="R69" s="73">
        <v>8.7107165947074723</v>
      </c>
      <c r="S69" s="73">
        <v>0.18355168800671787</v>
      </c>
      <c r="T69" s="73">
        <v>7.003408551661467</v>
      </c>
      <c r="U69" s="73">
        <v>12.089384045547153</v>
      </c>
      <c r="V69" s="73">
        <v>2.5432564659771182</v>
      </c>
      <c r="W69" s="73">
        <v>0.21359513954280882</v>
      </c>
      <c r="X69" s="73">
        <v>0</v>
      </c>
      <c r="Y69" s="73">
        <f t="shared" si="148"/>
        <v>100.00000000000001</v>
      </c>
      <c r="Z69" s="73">
        <v>2.7568516055199268</v>
      </c>
      <c r="AA69" s="73">
        <v>0.23772152207331851</v>
      </c>
      <c r="AB69" s="59">
        <f>(R69-AC69)*1.11</f>
        <v>1.7054743865067392</v>
      </c>
      <c r="AC69" s="60">
        <f>R69*1.11/(AA69+1.11)</f>
        <v>7.1742531834401397</v>
      </c>
      <c r="AD69" s="57">
        <f>100-R69+AB69+AC69</f>
        <v>100.1690109752394</v>
      </c>
      <c r="AE69" s="57"/>
      <c r="AF69" s="57">
        <f t="shared" si="152"/>
        <v>49.77453696724627</v>
      </c>
      <c r="AG69" s="57">
        <f t="shared" si="153"/>
        <v>1.3616163244225663</v>
      </c>
      <c r="AH69" s="57">
        <f t="shared" si="154"/>
        <v>17.815207437824398</v>
      </c>
      <c r="AI69" s="57">
        <f t="shared" si="155"/>
        <v>8.6723894416907594</v>
      </c>
      <c r="AJ69" s="57">
        <f t="shared" si="156"/>
        <v>0.1827440605794883</v>
      </c>
      <c r="AK69" s="57">
        <f t="shared" si="157"/>
        <v>6.972593554034157</v>
      </c>
      <c r="AL69" s="57">
        <f t="shared" si="158"/>
        <v>12.036190755746745</v>
      </c>
      <c r="AM69" s="57">
        <f t="shared" si="159"/>
        <v>2.5320661375268192</v>
      </c>
      <c r="AN69" s="57">
        <f t="shared" si="160"/>
        <v>0.21265532092882047</v>
      </c>
      <c r="AO69" s="57">
        <f t="shared" si="161"/>
        <v>0</v>
      </c>
      <c r="AP69" s="57">
        <f t="shared" si="162"/>
        <v>99.560000000000031</v>
      </c>
      <c r="AQ69" s="57"/>
      <c r="AR69" s="84">
        <f t="shared" ref="AR69:BA70" si="204">O69*(100-$B69)/$AD69</f>
        <v>49.69055447652363</v>
      </c>
      <c r="AS69" s="85">
        <f t="shared" si="204"/>
        <v>1.3593189262486995</v>
      </c>
      <c r="AT69" s="85">
        <f t="shared" si="204"/>
        <v>17.785148584753529</v>
      </c>
      <c r="AU69" s="85">
        <f t="shared" si="204"/>
        <v>8.6577568823500428</v>
      </c>
      <c r="AV69" s="85">
        <f t="shared" si="204"/>
        <v>0.18243572418286177</v>
      </c>
      <c r="AW69" s="85">
        <f t="shared" si="204"/>
        <v>6.960828989074975</v>
      </c>
      <c r="AX69" s="85">
        <f t="shared" si="204"/>
        <v>12.015882595388657</v>
      </c>
      <c r="AY69" s="85">
        <f t="shared" si="204"/>
        <v>2.5277938884239517</v>
      </c>
      <c r="AZ69" s="85">
        <f t="shared" si="204"/>
        <v>0.21229651651585774</v>
      </c>
      <c r="BA69" s="85">
        <f t="shared" si="204"/>
        <v>0</v>
      </c>
      <c r="BB69" s="85">
        <f>SUM(AR69:BA69)</f>
        <v>99.392016583462222</v>
      </c>
      <c r="BC69" s="85">
        <f>AB69*(100-$B69)/$AD69</f>
        <v>1.6951053850634781</v>
      </c>
      <c r="BD69" s="85">
        <f>AC69*(100-$B69)/$AD69</f>
        <v>7.1306349138243883</v>
      </c>
      <c r="BE69" s="85">
        <f>BB69+BC69+BD69+B69-AU69</f>
        <v>100.00000000000006</v>
      </c>
      <c r="BF69" s="84">
        <f t="shared" ref="BF69:BH70" si="205">AR69*100/(100-$B69)</f>
        <v>49.910159176901999</v>
      </c>
      <c r="BG69" s="85">
        <f t="shared" si="205"/>
        <v>1.3653263622425669</v>
      </c>
      <c r="BH69" s="85">
        <f t="shared" si="205"/>
        <v>17.863749080708647</v>
      </c>
      <c r="BI69" s="85">
        <f>BC69*100/(100-$B69)</f>
        <v>1.7025968110320189</v>
      </c>
      <c r="BJ69" s="85">
        <f>BD69*100/(100-$B69)</f>
        <v>7.1621483666375942</v>
      </c>
      <c r="BK69" s="85">
        <f t="shared" ref="BK69:BP70" si="206">AV69*100/(100-$B69)</f>
        <v>0.18324198893417212</v>
      </c>
      <c r="BL69" s="85">
        <f t="shared" si="206"/>
        <v>6.991591993847905</v>
      </c>
      <c r="BM69" s="85">
        <f t="shared" si="206"/>
        <v>12.068986134379928</v>
      </c>
      <c r="BN69" s="85">
        <f t="shared" si="206"/>
        <v>2.5389653359019202</v>
      </c>
      <c r="BO69" s="85">
        <f t="shared" si="206"/>
        <v>0.21323474941327614</v>
      </c>
      <c r="BP69" s="85">
        <f t="shared" si="206"/>
        <v>0</v>
      </c>
      <c r="BQ69" s="85">
        <f>SUM(BF69:BP69)</f>
        <v>100.00000000000003</v>
      </c>
      <c r="BR69" s="85"/>
      <c r="BS69" s="82">
        <f>AR69/Weights!$B$5*2+AS69/Weights!$B$7*2+AT69/Weights!$B$8*3+'Data and calc.'!BC69/Weights!$B$20*3+'Data and calc.'!BD69/Weights!$B$10+'Data and calc.'!AV69/Weights!$B$11+'Data and calc.'!AW69/Weights!$B$13+'Data and calc.'!AX69/Weights!$B$14+'Data and calc.'!AY69/Weights!$B$15+AZ69/Weights!$B$16+B69/Weights!$B$19+'Data and calc.'!BA69/Weights!$B$6*5</f>
        <v>2.7995162075544751</v>
      </c>
      <c r="BT69" s="84">
        <f>AR69/Weights!$B$5*8/'Data and calc.'!$BS69</f>
        <v>2.3633564827760827</v>
      </c>
      <c r="BU69" s="85">
        <f>AS69/Weights!$B$7*8/'Data and calc.'!$BS69</f>
        <v>4.8637569972933434E-2</v>
      </c>
      <c r="BV69" s="85">
        <f>AT69/Weights!$B$8*8/'Data and calc.'!$BS69*2</f>
        <v>0.99692925258073184</v>
      </c>
      <c r="BW69" s="85">
        <f>BC69/Weights!$B$20*8/'Data and calc.'!$BS69*2</f>
        <v>6.0668623033064063E-2</v>
      </c>
      <c r="BX69" s="85">
        <f>BD69/Weights!$B$10*8/'Data and calc.'!$BS69</f>
        <v>0.28362512345586843</v>
      </c>
      <c r="BY69" s="85">
        <f>AV69/Weights!$B$11*8/'Data and calc.'!$BS69</f>
        <v>7.349263158910776E-3</v>
      </c>
      <c r="BZ69" s="85">
        <f>AW69/Weights!$B$13*8/'Data and calc.'!$BS69</f>
        <v>0.49353711152013741</v>
      </c>
      <c r="CA69" s="85">
        <f>AX69/Weights!$B$14*8/'Data and calc.'!$BS69</f>
        <v>0.61231923934234811</v>
      </c>
      <c r="CB69" s="85">
        <f>AY69/Weights!$B$15*8/'Data and calc.'!$BS69*2</f>
        <v>0.23309734373909152</v>
      </c>
      <c r="CC69" s="85">
        <f>AZ69/Weights!$B$16*8/'Data and calc.'!$BS69*2</f>
        <v>1.2880990139503747E-2</v>
      </c>
      <c r="CD69" s="85">
        <f>BA69/Weights!$B$6*8/'Data and calc.'!$BS69*2</f>
        <v>0</v>
      </c>
      <c r="CE69" s="85">
        <f>B69/Weights!$B$19*8/'Data and calc.'!$BS69*2</f>
        <v>0.13959035332942263</v>
      </c>
      <c r="CF69" s="85">
        <f>SUM(BT69:BW69)*4</f>
        <v>13.878367713451247</v>
      </c>
      <c r="CG69" s="85">
        <f>(16-CF69)/SUM(BT69:BW69)</f>
        <v>0.61149331977777643</v>
      </c>
      <c r="CH69" s="85">
        <f>CE69/SUM(BT69:CD69)</f>
        <v>2.7304265322126355E-2</v>
      </c>
      <c r="CI69" s="85">
        <f>AR69/Weights!$B$5*2+AS69/Weights!$B$7*2+AT69/Weights!$B$8*3+'Data and calc.'!BC69/Weights!$B$20*3+'Data and calc.'!BD69/Weights!$B$10+'Data and calc.'!AV69/Weights!$B$11+'Data and calc.'!AW69/Weights!$B$13+'Data and calc.'!AX69/Weights!$B$14+'Data and calc.'!AY69/Weights!$B$15+AZ69/Weights!$B$16+'Data and calc.'!BA69/Weights!$B$6*5</f>
        <v>2.7750921165192266</v>
      </c>
      <c r="CJ69" s="84">
        <f>AR69/Weights!$B$5*8/'Data and calc.'!$CI69</f>
        <v>2.3841568135256321</v>
      </c>
      <c r="CK69" s="85">
        <f>AS69/Weights!$B$7*8/'Data and calc.'!$CI69</f>
        <v>4.9065638082702055E-2</v>
      </c>
      <c r="CL69" s="85">
        <f>AT69/Weights!$B$8*8/'Data and calc.'!$CI69*2</f>
        <v>1.0057034084639875</v>
      </c>
      <c r="CM69" s="85">
        <f>BC69/Weights!$B$20*8/'Data and calc.'!$CI69*2</f>
        <v>6.1202578631554726E-2</v>
      </c>
      <c r="CN69" s="85">
        <f>BD69/Weights!$B$10*8/'Data and calc.'!$CI69</f>
        <v>0.28612135981282893</v>
      </c>
      <c r="CO69" s="85">
        <f>AV69/Weights!$B$11*8/'Data and calc.'!$CI69</f>
        <v>7.4139453622029602E-3</v>
      </c>
      <c r="CP69" s="85">
        <f>AW69/Weights!$B$13*8/'Data and calc.'!$CI69</f>
        <v>0.49788082150701918</v>
      </c>
      <c r="CQ69" s="85">
        <f>AX69/Weights!$B$14*8/'Data and calc.'!$CI69</f>
        <v>0.61770837246528387</v>
      </c>
      <c r="CR69" s="85">
        <f>AY69/Weights!$B$15*8/'Data and calc.'!$CI69*2</f>
        <v>0.2351488759061387</v>
      </c>
      <c r="CS69" s="85">
        <f>AZ69/Weights!$B$16*8/'Data and calc.'!$CI69*2</f>
        <v>1.2994358079226765E-2</v>
      </c>
      <c r="CT69" s="85">
        <f>BA69/Weights!$B$6*8/'Data and calc.'!$CI69*2</f>
        <v>0</v>
      </c>
      <c r="CU69" s="85">
        <f>CJ69*2+CK69*2+CL69*1.5+CM69*1.5+CN69+CO69+CP69+CQ69+CR69*0.5+CS69*0.5+CT69*2.5</f>
        <v>8</v>
      </c>
      <c r="CV69" s="85">
        <f>SUM(CJ69:CM69)*4</f>
        <v>14.000513754815506</v>
      </c>
      <c r="CW69" s="85">
        <f>(16-CV69)/SUM(CJ69:CM69)</f>
        <v>0.57126082091002317</v>
      </c>
      <c r="CX69" s="113"/>
      <c r="CY69" s="90">
        <f t="shared" si="88"/>
        <v>4.0647047085882668E-3</v>
      </c>
      <c r="CZ69" s="91">
        <f t="shared" si="195"/>
        <v>0.40482497686919239</v>
      </c>
      <c r="DA69" s="85">
        <f t="shared" si="135"/>
        <v>-3.5175023130807614E-2</v>
      </c>
      <c r="DB69" s="85">
        <f t="shared" si="136"/>
        <v>3.5175023130807614E-2</v>
      </c>
      <c r="DC69" s="85">
        <f t="shared" si="196"/>
        <v>1.2372822522528507E-3</v>
      </c>
      <c r="DD69" s="117"/>
      <c r="DE69" s="97"/>
      <c r="DF69" s="91">
        <f t="shared" si="138"/>
        <v>0.39171756456238599</v>
      </c>
      <c r="DG69" s="85">
        <f t="shared" si="139"/>
        <v>-4.8282435437614013E-2</v>
      </c>
      <c r="DH69" s="85">
        <f t="shared" si="140"/>
        <v>4.8282435437614013E-2</v>
      </c>
      <c r="DI69" s="85">
        <f t="shared" si="201"/>
        <v>2.3311935717873654E-3</v>
      </c>
      <c r="DK69" s="117"/>
      <c r="DL69" s="99">
        <f>'Eq. 3 coef.'!$B$15+'Eq. 3 coef.'!$B$16*'Data and calc.'!G69^2+'Eq. 3 coef.'!$B$17*'Data and calc.'!G69+'Eq. 3 coef.'!$B$18*'Data and calc.'!BF69+'Eq. 3 coef.'!$B$19*'Data and calc.'!BG69+'Eq. 3 coef.'!$B$20*'Data and calc.'!BH69+'Eq. 3 coef.'!$B$21*'Data and calc.'!BI69+'Eq. 3 coef.'!$B$22*'Data and calc.'!BJ69+'Eq. 3 coef.'!$B$23*'Data and calc.'!BK69+'Eq. 3 coef.'!$B$24*'Data and calc.'!BL69+'Eq. 3 coef.'!$B$25*'Data and calc.'!BM69+'Eq. 3 coef.'!$B$26*'Data and calc.'!BN69+'Eq. 3 coef.'!$B$27*'Data and calc.'!BO69+'Eq. 3 coef.'!$B$28*'Data and calc.'!BP69</f>
        <v>0.26960174734313114</v>
      </c>
      <c r="DM69" s="85">
        <f>DL69-B69</f>
        <v>-0.17039825265686886</v>
      </c>
      <c r="DN69" s="85">
        <f t="shared" si="143"/>
        <v>0.17039825265686886</v>
      </c>
      <c r="DO69" s="85">
        <f t="shared" ref="DO69:DO88" si="207">DM69^2</f>
        <v>2.9035564508514116E-2</v>
      </c>
      <c r="DP69" s="117"/>
      <c r="DQ69" s="99">
        <f>'Eq. 4 coef.'!$B$15+'Eq. 4 coef.'!$B$16*'Data and calc.'!G69^2+'Eq. 4 coef.'!$B$17*'Data and calc.'!G69+'Eq. 4 coef.'!$B$18*'Data and calc.'!O69+'Eq. 4 coef.'!$B$19*'Data and calc.'!P69+'Eq. 4 coef.'!$B$20*'Data and calc.'!Q69+'Eq. 4 coef.'!$B$21*'Data and calc.'!R69+'Eq. 4 coef.'!$B$22*'Data and calc.'!S69+'Eq. 4 coef.'!$B$23*'Data and calc.'!T69+'Eq. 4 coef.'!$B$24*'Data and calc.'!U69+'Eq. 4 coef.'!$B$25*'Data and calc.'!V69+'Eq. 4 coef.'!$B$26*'Data and calc.'!W69+'Eq. 4 coef.'!$B$27*'Data and calc.'!X69</f>
        <v>0.35186951756827511</v>
      </c>
      <c r="DR69" s="85">
        <f t="shared" si="199"/>
        <v>-8.8130482431724888E-2</v>
      </c>
      <c r="DS69" s="85">
        <f t="shared" si="145"/>
        <v>8.8130482431724888E-2</v>
      </c>
      <c r="DT69" s="85">
        <f t="shared" si="200"/>
        <v>7.7669819336485691E-3</v>
      </c>
    </row>
    <row r="70" spans="1:125" ht="15" x14ac:dyDescent="0.2">
      <c r="A70" s="66" t="s">
        <v>600</v>
      </c>
      <c r="B70" s="73">
        <v>0.69</v>
      </c>
      <c r="C70" s="73">
        <v>0.14000000000000001</v>
      </c>
      <c r="D70" s="126">
        <f t="shared" si="111"/>
        <v>20.289855072463773</v>
      </c>
      <c r="E70" s="72">
        <f t="shared" si="112"/>
        <v>6.9479407914610804E-3</v>
      </c>
      <c r="F70" s="64">
        <f t="shared" si="113"/>
        <v>1.5587453262847299</v>
      </c>
      <c r="G70" s="73">
        <v>1.2484972271834367</v>
      </c>
      <c r="H70" s="73">
        <v>3.4046666264398992E-2</v>
      </c>
      <c r="I70" s="126">
        <f t="shared" si="106"/>
        <v>2.7270117644719969</v>
      </c>
      <c r="J70" s="70">
        <v>1220</v>
      </c>
      <c r="K70" s="70">
        <v>205</v>
      </c>
      <c r="L70" s="73">
        <v>5.1084717110258616E-2</v>
      </c>
      <c r="M70" s="70">
        <v>2.6</v>
      </c>
      <c r="N70" s="64">
        <f>M70+2*LOG(L70)</f>
        <v>1.6581985497925E-2</v>
      </c>
      <c r="O70" s="76">
        <v>49.982522242610521</v>
      </c>
      <c r="P70" s="73">
        <v>1.3369331252001717</v>
      </c>
      <c r="Q70" s="73">
        <v>17.828696318400148</v>
      </c>
      <c r="R70" s="73">
        <v>8.7183559503558126</v>
      </c>
      <c r="S70" s="73">
        <v>0.19205812576003503</v>
      </c>
      <c r="T70" s="73">
        <v>6.8982291812969194</v>
      </c>
      <c r="U70" s="73">
        <v>12.246289243815749</v>
      </c>
      <c r="V70" s="73">
        <v>2.5804643661984916</v>
      </c>
      <c r="W70" s="73">
        <v>0.21645144636213634</v>
      </c>
      <c r="X70" s="73">
        <v>0</v>
      </c>
      <c r="Y70" s="73">
        <f t="shared" si="148"/>
        <v>100</v>
      </c>
      <c r="Z70" s="73">
        <v>2.7969158125606279</v>
      </c>
      <c r="AA70" s="73">
        <v>0.36675183910227205</v>
      </c>
      <c r="AB70" s="59">
        <f>(R70-AC70)*1.11</f>
        <v>2.4033795140288086</v>
      </c>
      <c r="AC70" s="60">
        <f>R70*1.11/(AA70+1.11)</f>
        <v>6.5531491809604896</v>
      </c>
      <c r="AD70" s="57">
        <f>100-R70+AB70+AC70</f>
        <v>100.23817274463349</v>
      </c>
      <c r="AE70" s="57"/>
      <c r="AF70" s="57">
        <f t="shared" si="152"/>
        <v>49.637642839136504</v>
      </c>
      <c r="AG70" s="57">
        <f t="shared" si="153"/>
        <v>1.3277082866362906</v>
      </c>
      <c r="AH70" s="57">
        <f t="shared" si="154"/>
        <v>17.705678313803187</v>
      </c>
      <c r="AI70" s="57">
        <f t="shared" si="155"/>
        <v>8.6581992942983579</v>
      </c>
      <c r="AJ70" s="57">
        <f t="shared" si="156"/>
        <v>0.19073292469229081</v>
      </c>
      <c r="AK70" s="57">
        <f t="shared" si="157"/>
        <v>6.8506313999459714</v>
      </c>
      <c r="AL70" s="57">
        <f t="shared" si="158"/>
        <v>12.16178984803342</v>
      </c>
      <c r="AM70" s="57">
        <f t="shared" si="159"/>
        <v>2.5626591620717223</v>
      </c>
      <c r="AN70" s="57">
        <f t="shared" si="160"/>
        <v>0.21495793138223759</v>
      </c>
      <c r="AO70" s="57">
        <f t="shared" si="161"/>
        <v>0</v>
      </c>
      <c r="AP70" s="57">
        <f t="shared" si="162"/>
        <v>99.309999999999974</v>
      </c>
      <c r="AQ70" s="57"/>
      <c r="AR70" s="84">
        <f t="shared" si="204"/>
        <v>49.519700409536831</v>
      </c>
      <c r="AS70" s="85">
        <f t="shared" si="204"/>
        <v>1.3245535610657597</v>
      </c>
      <c r="AT70" s="85">
        <f t="shared" si="204"/>
        <v>17.663608412845001</v>
      </c>
      <c r="AU70" s="85">
        <f t="shared" si="204"/>
        <v>8.6376268214265668</v>
      </c>
      <c r="AV70" s="85">
        <f t="shared" si="204"/>
        <v>0.19027973023630579</v>
      </c>
      <c r="AW70" s="85">
        <f t="shared" si="204"/>
        <v>6.8343538318466983</v>
      </c>
      <c r="AX70" s="85">
        <f t="shared" si="204"/>
        <v>12.132892604713341</v>
      </c>
      <c r="AY70" s="85">
        <f t="shared" si="204"/>
        <v>2.5565701088749355</v>
      </c>
      <c r="AZ70" s="85">
        <f t="shared" si="204"/>
        <v>0.21444717665580745</v>
      </c>
      <c r="BA70" s="85">
        <f t="shared" si="204"/>
        <v>0</v>
      </c>
      <c r="BB70" s="85">
        <f>SUM(AR70:BA70)</f>
        <v>99.074032657201258</v>
      </c>
      <c r="BC70" s="85">
        <f>AB70*(100-$B70)/$AD70</f>
        <v>2.3811250046053871</v>
      </c>
      <c r="BD70" s="85">
        <f>AC70*(100-$B70)/$AD70</f>
        <v>6.4924691596199136</v>
      </c>
      <c r="BE70" s="85">
        <f>BB70+BC70+BD70+B70-AU70</f>
        <v>100</v>
      </c>
      <c r="BF70" s="84">
        <f t="shared" si="205"/>
        <v>49.863760355993186</v>
      </c>
      <c r="BG70" s="85">
        <f t="shared" si="205"/>
        <v>1.3337564807831637</v>
      </c>
      <c r="BH70" s="85">
        <f t="shared" si="205"/>
        <v>17.786334118261003</v>
      </c>
      <c r="BI70" s="85">
        <f>BC70*100/(100-$B70)</f>
        <v>2.397668920154453</v>
      </c>
      <c r="BJ70" s="85">
        <f>BD70*100/(100-$B70)</f>
        <v>6.5375784509313402</v>
      </c>
      <c r="BK70" s="85">
        <f t="shared" si="206"/>
        <v>0.19160178253580282</v>
      </c>
      <c r="BL70" s="85">
        <f t="shared" si="206"/>
        <v>6.8818385176182639</v>
      </c>
      <c r="BM70" s="85">
        <f t="shared" si="206"/>
        <v>12.217191224160045</v>
      </c>
      <c r="BN70" s="85">
        <f t="shared" si="206"/>
        <v>2.5743330066206176</v>
      </c>
      <c r="BO70" s="85">
        <f t="shared" si="206"/>
        <v>0.215937142942108</v>
      </c>
      <c r="BP70" s="85">
        <f t="shared" si="206"/>
        <v>0</v>
      </c>
      <c r="BQ70" s="85">
        <f>SUM(BF70:BP70)</f>
        <v>99.999999999999986</v>
      </c>
      <c r="BR70" s="85"/>
      <c r="BS70" s="82">
        <f>AR70/Weights!$B$5*2+AS70/Weights!$B$7*2+AT70/Weights!$B$8*3+'Data and calc.'!BC70/Weights!$B$20*3+'Data and calc.'!BD70/Weights!$B$10+'Data and calc.'!AV70/Weights!$B$11+'Data and calc.'!AW70/Weights!$B$13+'Data and calc.'!AX70/Weights!$B$14+'Data and calc.'!AY70/Weights!$B$15+AZ70/Weights!$B$16+B70/Weights!$B$19+'Data and calc.'!BA70/Weights!$B$6*5</f>
        <v>2.8068112387244888</v>
      </c>
      <c r="BT70" s="84">
        <f>AR70/Weights!$B$5*8/'Data and calc.'!$BS70</f>
        <v>2.3491090580222198</v>
      </c>
      <c r="BU70" s="85">
        <f>AS70/Weights!$B$7*8/'Data and calc.'!$BS70</f>
        <v>4.7270457847105533E-2</v>
      </c>
      <c r="BV70" s="85">
        <f>AT70/Weights!$B$8*8/'Data and calc.'!$BS70*2</f>
        <v>0.98754307809817177</v>
      </c>
      <c r="BW70" s="85">
        <f>BC70/Weights!$B$20*8/'Data and calc.'!$BS70*2</f>
        <v>8.5000094687578381E-2</v>
      </c>
      <c r="BX70" s="85">
        <f>BD70/Weights!$B$10*8/'Data and calc.'!$BS70</f>
        <v>0.25757052982322409</v>
      </c>
      <c r="BY70" s="85">
        <f>AV70/Weights!$B$11*8/'Data and calc.'!$BS70</f>
        <v>7.6453297221005974E-3</v>
      </c>
      <c r="BZ70" s="85">
        <f>AW70/Weights!$B$13*8/'Data and calc.'!$BS70</f>
        <v>0.48331034334862738</v>
      </c>
      <c r="CA70" s="85">
        <f>AX70/Weights!$B$14*8/'Data and calc.'!$BS70</f>
        <v>0.61667502749187364</v>
      </c>
      <c r="CB70" s="85">
        <f>AY70/Weights!$B$15*8/'Data and calc.'!$BS70*2</f>
        <v>0.23513817940280163</v>
      </c>
      <c r="CC70" s="85">
        <f>AZ70/Weights!$B$16*8/'Data and calc.'!$BS70*2</f>
        <v>1.2977662985813071E-2</v>
      </c>
      <c r="CD70" s="85">
        <f>BA70/Weights!$B$6*8/'Data and calc.'!$BS70*2</f>
        <v>0</v>
      </c>
      <c r="CE70" s="85">
        <f>B70/Weights!$B$19*8/'Data and calc.'!$BS70*2</f>
        <v>0.21833411500518038</v>
      </c>
      <c r="CF70" s="85">
        <f>SUM(BT70:BW70)*4</f>
        <v>13.875690754620303</v>
      </c>
      <c r="CG70" s="85">
        <f>(16-CF70)/SUM(BT70:BW70)</f>
        <v>0.61238298919925083</v>
      </c>
      <c r="CH70" s="85">
        <f>CE70/SUM(BT70:CD70)</f>
        <v>4.2960215427492551E-2</v>
      </c>
      <c r="CI70" s="85">
        <f>AR70/Weights!$B$5*2+AS70/Weights!$B$7*2+AT70/Weights!$B$8*3+'Data and calc.'!BC70/Weights!$B$20*3+'Data and calc.'!BD70/Weights!$B$10+'Data and calc.'!AV70/Weights!$B$11+'Data and calc.'!AW70/Weights!$B$13+'Data and calc.'!AX70/Weights!$B$14+'Data and calc.'!AY70/Weights!$B$15+AZ70/Weights!$B$16+'Data and calc.'!BA70/Weights!$B$6*5</f>
        <v>2.7685098232373946</v>
      </c>
      <c r="CJ70" s="84">
        <f>AR70/Weights!$B$5*8/'Data and calc.'!$CI70</f>
        <v>2.3816082029776071</v>
      </c>
      <c r="CK70" s="85">
        <f>AS70/Weights!$B$7*8/'Data and calc.'!$CI70</f>
        <v>4.7924428958593231E-2</v>
      </c>
      <c r="CL70" s="85">
        <f>AT70/Weights!$B$8*8/'Data and calc.'!$CI70*2</f>
        <v>1.0012054091573448</v>
      </c>
      <c r="CM70" s="85">
        <f>BC70/Weights!$B$20*8/'Data and calc.'!$CI70*2</f>
        <v>8.6176042815248127E-2</v>
      </c>
      <c r="CN70" s="85">
        <f>BD70/Weights!$B$10*8/'Data and calc.'!$CI70</f>
        <v>0.26113393270414803</v>
      </c>
      <c r="CO70" s="85">
        <f>AV70/Weights!$B$11*8/'Data and calc.'!$CI70</f>
        <v>7.7511003239471837E-3</v>
      </c>
      <c r="CP70" s="85">
        <f>AW70/Weights!$B$13*8/'Data and calc.'!$CI70</f>
        <v>0.48999678170417538</v>
      </c>
      <c r="CQ70" s="85">
        <f>AX70/Weights!$B$14*8/'Data and calc.'!$CI70</f>
        <v>0.62520652203461702</v>
      </c>
      <c r="CR70" s="85">
        <f>AY70/Weights!$B$15*8/'Data and calc.'!$CI70*2</f>
        <v>0.23839123815325033</v>
      </c>
      <c r="CS70" s="85">
        <f>AZ70/Weights!$B$16*8/'Data and calc.'!$CI70*2</f>
        <v>1.3157204650393429E-2</v>
      </c>
      <c r="CT70" s="85">
        <f>BA70/Weights!$B$6*8/'Data and calc.'!$CI70*2</f>
        <v>0</v>
      </c>
      <c r="CU70" s="85">
        <f>CJ70*2+CK70*2+CL70*1.5+CM70*1.5+CN70+CO70+CP70+CQ70+CR70*0.5+CS70*0.5+CT70*2.5</f>
        <v>7.9999999999999991</v>
      </c>
      <c r="CV70" s="85">
        <f>SUM(CJ70:CM70)*4</f>
        <v>14.067656335635174</v>
      </c>
      <c r="CW70" s="85">
        <f>(16-CV70)/SUM(CJ70:CM70)</f>
        <v>0.54944295432351498</v>
      </c>
      <c r="CX70" s="113"/>
      <c r="CY70" s="90">
        <f t="shared" si="88"/>
        <v>7.0795611260493895E-3</v>
      </c>
      <c r="CZ70" s="91">
        <f t="shared" si="195"/>
        <v>0.70297932748565517</v>
      </c>
      <c r="DA70" s="85">
        <f t="shared" si="135"/>
        <v>1.2979327485655223E-2</v>
      </c>
      <c r="DB70" s="85">
        <f t="shared" si="136"/>
        <v>1.2979327485655223E-2</v>
      </c>
      <c r="DC70" s="85">
        <f t="shared" si="196"/>
        <v>1.6846294197988513E-4</v>
      </c>
      <c r="DD70" s="117"/>
      <c r="DE70" s="97"/>
      <c r="DF70" s="91">
        <f t="shared" si="138"/>
        <v>0.69422067103508134</v>
      </c>
      <c r="DG70" s="85">
        <f t="shared" si="139"/>
        <v>4.2206710350813914E-3</v>
      </c>
      <c r="DH70" s="85">
        <f t="shared" si="140"/>
        <v>4.2206710350813914E-3</v>
      </c>
      <c r="DI70" s="85">
        <f t="shared" si="201"/>
        <v>1.7814063986375025E-5</v>
      </c>
      <c r="DK70" s="117"/>
      <c r="DL70" s="99">
        <f>'Eq. 3 coef.'!$B$15+'Eq. 3 coef.'!$B$16*'Data and calc.'!G70^2+'Eq. 3 coef.'!$B$17*'Data and calc.'!G70+'Eq. 3 coef.'!$B$18*'Data and calc.'!BF70+'Eq. 3 coef.'!$B$19*'Data and calc.'!BG70+'Eq. 3 coef.'!$B$20*'Data and calc.'!BH70+'Eq. 3 coef.'!$B$21*'Data and calc.'!BI70+'Eq. 3 coef.'!$B$22*'Data and calc.'!BJ70+'Eq. 3 coef.'!$B$23*'Data and calc.'!BK70+'Eq. 3 coef.'!$B$24*'Data and calc.'!BL70+'Eq. 3 coef.'!$B$25*'Data and calc.'!BM70+'Eq. 3 coef.'!$B$26*'Data and calc.'!BN70+'Eq. 3 coef.'!$B$27*'Data and calc.'!BO70+'Eq. 3 coef.'!$B$28*'Data and calc.'!BP70</f>
        <v>0.59885190970317126</v>
      </c>
      <c r="DM70" s="85">
        <f>DL70-B70</f>
        <v>-9.1148090296828688E-2</v>
      </c>
      <c r="DN70" s="85">
        <f t="shared" si="143"/>
        <v>9.1148090296828688E-2</v>
      </c>
      <c r="DO70" s="85">
        <f t="shared" si="207"/>
        <v>8.3079743647588352E-3</v>
      </c>
      <c r="DP70" s="117"/>
      <c r="DQ70" s="99">
        <f>'Eq. 4 coef.'!$B$15+'Eq. 4 coef.'!$B$16*'Data and calc.'!G70^2+'Eq. 4 coef.'!$B$17*'Data and calc.'!G70+'Eq. 4 coef.'!$B$18*'Data and calc.'!O70+'Eq. 4 coef.'!$B$19*'Data and calc.'!P70+'Eq. 4 coef.'!$B$20*'Data and calc.'!Q70+'Eq. 4 coef.'!$B$21*'Data and calc.'!R70+'Eq. 4 coef.'!$B$22*'Data and calc.'!S70+'Eq. 4 coef.'!$B$23*'Data and calc.'!T70+'Eq. 4 coef.'!$B$24*'Data and calc.'!U70+'Eq. 4 coef.'!$B$25*'Data and calc.'!V70+'Eq. 4 coef.'!$B$26*'Data and calc.'!W70+'Eq. 4 coef.'!$B$27*'Data and calc.'!X70</f>
        <v>0.682579348571835</v>
      </c>
      <c r="DR70" s="85">
        <f t="shared" si="199"/>
        <v>-7.4206514281649483E-3</v>
      </c>
      <c r="DS70" s="85">
        <f t="shared" si="145"/>
        <v>7.4206514281649483E-3</v>
      </c>
      <c r="DT70" s="85">
        <f t="shared" si="200"/>
        <v>5.5066067618326483E-5</v>
      </c>
    </row>
    <row r="71" spans="1:125" ht="15" x14ac:dyDescent="0.2">
      <c r="A71" s="66" t="s">
        <v>601</v>
      </c>
      <c r="B71" s="73">
        <v>0.37</v>
      </c>
      <c r="C71" s="73">
        <v>1.8499999999999999E-2</v>
      </c>
      <c r="D71" s="126">
        <f t="shared" si="111"/>
        <v>5</v>
      </c>
      <c r="E71" s="72">
        <f t="shared" si="112"/>
        <v>3.713740841112115E-3</v>
      </c>
      <c r="F71" s="64">
        <f t="shared" si="113"/>
        <v>0.49649314110413101</v>
      </c>
      <c r="G71" s="73">
        <v>0.70462269414498069</v>
      </c>
      <c r="H71" s="73">
        <v>3.0946680835138633E-2</v>
      </c>
      <c r="I71" s="126">
        <f t="shared" si="106"/>
        <v>4.3919506272347162</v>
      </c>
      <c r="J71" s="70" t="s">
        <v>576</v>
      </c>
      <c r="K71" s="70" t="s">
        <v>576</v>
      </c>
      <c r="L71" s="73"/>
      <c r="M71" s="70">
        <v>2.6</v>
      </c>
      <c r="N71" s="64"/>
      <c r="O71" s="76">
        <v>49.694969496949696</v>
      </c>
      <c r="P71" s="73">
        <v>1.3201320132013201</v>
      </c>
      <c r="Q71" s="73">
        <v>17.711771177117715</v>
      </c>
      <c r="R71" s="73">
        <v>9.0509050905090529</v>
      </c>
      <c r="S71" s="73">
        <v>0.18001800180018002</v>
      </c>
      <c r="T71" s="73">
        <v>6.9806980698069809</v>
      </c>
      <c r="U71" s="73">
        <v>12.251225122512253</v>
      </c>
      <c r="V71" s="73">
        <v>2.5102510251025101</v>
      </c>
      <c r="W71" s="73">
        <v>0.21002100210021005</v>
      </c>
      <c r="X71" s="73">
        <v>0.09</v>
      </c>
      <c r="Y71" s="73">
        <f t="shared" si="148"/>
        <v>99.999990999099893</v>
      </c>
      <c r="Z71" s="73">
        <v>2.7202720272027201</v>
      </c>
      <c r="AA71" s="73"/>
      <c r="AF71" s="57">
        <f t="shared" si="152"/>
        <v>49.51109810981098</v>
      </c>
      <c r="AG71" s="57">
        <f t="shared" si="153"/>
        <v>1.3152475247524751</v>
      </c>
      <c r="AH71" s="57">
        <f t="shared" si="154"/>
        <v>17.646237623762378</v>
      </c>
      <c r="AI71" s="57">
        <f t="shared" si="155"/>
        <v>9.01741674167417</v>
      </c>
      <c r="AJ71" s="57">
        <f t="shared" si="156"/>
        <v>0.17935193519351933</v>
      </c>
      <c r="AK71" s="57">
        <f t="shared" si="157"/>
        <v>6.9548694869486951</v>
      </c>
      <c r="AL71" s="57">
        <f t="shared" si="158"/>
        <v>12.205895589558956</v>
      </c>
      <c r="AM71" s="57">
        <f t="shared" si="159"/>
        <v>2.500963096309631</v>
      </c>
      <c r="AN71" s="57">
        <f t="shared" si="160"/>
        <v>0.20924392439243927</v>
      </c>
      <c r="AO71" s="57">
        <f t="shared" si="161"/>
        <v>8.9666999999999997E-2</v>
      </c>
      <c r="AP71" s="57">
        <f t="shared" si="162"/>
        <v>99.62999103240324</v>
      </c>
      <c r="AR71" s="84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4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2"/>
      <c r="BT71" s="84"/>
      <c r="BU71" s="85"/>
      <c r="BV71" s="85"/>
      <c r="BW71" s="85"/>
      <c r="BX71" s="85"/>
      <c r="BY71" s="85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4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113"/>
      <c r="CY71" s="90">
        <f t="shared" si="88"/>
        <v>2.3968013965882831E-3</v>
      </c>
      <c r="CZ71" s="91">
        <f t="shared" si="195"/>
        <v>0.23910704755331841</v>
      </c>
      <c r="DA71" s="85">
        <f t="shared" si="135"/>
        <v>-0.13089295244668159</v>
      </c>
      <c r="DB71" s="85">
        <f t="shared" si="136"/>
        <v>0.13089295244668159</v>
      </c>
      <c r="DC71" s="85">
        <f t="shared" si="196"/>
        <v>1.7132965000209246E-2</v>
      </c>
      <c r="DD71" s="117"/>
      <c r="DE71" s="97"/>
      <c r="DF71" s="91">
        <f t="shared" si="138"/>
        <v>0.22345721314168293</v>
      </c>
      <c r="DG71" s="85">
        <f t="shared" si="139"/>
        <v>-0.14654278685831706</v>
      </c>
      <c r="DH71" s="85">
        <f t="shared" si="140"/>
        <v>0.14654278685831706</v>
      </c>
      <c r="DI71" s="85">
        <f t="shared" si="201"/>
        <v>2.1474788380202146E-2</v>
      </c>
      <c r="DK71" s="117"/>
      <c r="DL71" s="99"/>
      <c r="DM71" s="85"/>
      <c r="DN71" s="85"/>
      <c r="DO71" s="85"/>
      <c r="DP71" s="117"/>
      <c r="DQ71" s="99">
        <f>'Eq. 4 coef.'!$B$15+'Eq. 4 coef.'!$B$16*'Data and calc.'!G71^2+'Eq. 4 coef.'!$B$17*'Data and calc.'!G71+'Eq. 4 coef.'!$B$18*'Data and calc.'!O71+'Eq. 4 coef.'!$B$19*'Data and calc.'!P71+'Eq. 4 coef.'!$B$20*'Data and calc.'!Q71+'Eq. 4 coef.'!$B$21*'Data and calc.'!R71+'Eq. 4 coef.'!$B$22*'Data and calc.'!S71+'Eq. 4 coef.'!$B$23*'Data and calc.'!T71+'Eq. 4 coef.'!$B$24*'Data and calc.'!U71+'Eq. 4 coef.'!$B$25*'Data and calc.'!V71+'Eq. 4 coef.'!$B$26*'Data and calc.'!W71+'Eq. 4 coef.'!$B$27*'Data and calc.'!X71</f>
        <v>0.15031645877797928</v>
      </c>
      <c r="DR71" s="85">
        <f t="shared" si="199"/>
        <v>-0.21968354122202072</v>
      </c>
      <c r="DS71" s="85">
        <f t="shared" si="145"/>
        <v>0.21968354122202072</v>
      </c>
      <c r="DT71" s="85">
        <f t="shared" si="200"/>
        <v>4.8260858283847276E-2</v>
      </c>
    </row>
    <row r="72" spans="1:125" ht="15" x14ac:dyDescent="0.2">
      <c r="A72" s="66" t="s">
        <v>602</v>
      </c>
      <c r="B72" s="73">
        <v>0.5</v>
      </c>
      <c r="C72" s="73">
        <v>2.5000000000000001E-2</v>
      </c>
      <c r="D72" s="126">
        <f t="shared" si="111"/>
        <v>5</v>
      </c>
      <c r="E72" s="72">
        <f t="shared" si="112"/>
        <v>5.0251256281407036E-3</v>
      </c>
      <c r="F72" s="64">
        <f t="shared" si="113"/>
        <v>0.57106640372864825</v>
      </c>
      <c r="G72" s="73">
        <v>0.75568935663316594</v>
      </c>
      <c r="H72" s="73">
        <v>1.2904454014414524E-2</v>
      </c>
      <c r="I72" s="126">
        <f t="shared" si="106"/>
        <v>1.7076400376879635</v>
      </c>
      <c r="J72" s="70" t="s">
        <v>576</v>
      </c>
      <c r="K72" s="70" t="s">
        <v>576</v>
      </c>
      <c r="L72" s="73"/>
      <c r="M72" s="70">
        <v>2.6</v>
      </c>
      <c r="N72" s="64"/>
      <c r="O72" s="76">
        <v>49.694969496949696</v>
      </c>
      <c r="P72" s="73">
        <v>1.3201320132013201</v>
      </c>
      <c r="Q72" s="73">
        <v>17.711771177117715</v>
      </c>
      <c r="R72" s="73">
        <v>9.0509050905090529</v>
      </c>
      <c r="S72" s="73">
        <v>0.18001800180018002</v>
      </c>
      <c r="T72" s="73">
        <v>6.9806980698069809</v>
      </c>
      <c r="U72" s="73">
        <v>12.251225122512253</v>
      </c>
      <c r="V72" s="73">
        <v>2.5102510251025101</v>
      </c>
      <c r="W72" s="73">
        <v>0.21002100210021005</v>
      </c>
      <c r="X72" s="73">
        <v>0.09</v>
      </c>
      <c r="Y72" s="73">
        <f t="shared" si="148"/>
        <v>99.999990999099893</v>
      </c>
      <c r="Z72" s="73">
        <v>2.7202720272027201</v>
      </c>
      <c r="AA72" s="73"/>
      <c r="AF72" s="57">
        <f t="shared" si="152"/>
        <v>49.446494649464945</v>
      </c>
      <c r="AG72" s="57">
        <f t="shared" si="153"/>
        <v>1.3135313531353134</v>
      </c>
      <c r="AH72" s="57">
        <f t="shared" si="154"/>
        <v>17.623212321232128</v>
      </c>
      <c r="AI72" s="57">
        <f t="shared" si="155"/>
        <v>9.0056505650565075</v>
      </c>
      <c r="AJ72" s="57">
        <f t="shared" si="156"/>
        <v>0.17911791179117911</v>
      </c>
      <c r="AK72" s="57">
        <f t="shared" si="157"/>
        <v>6.9457945794579459</v>
      </c>
      <c r="AL72" s="57">
        <f t="shared" si="158"/>
        <v>12.18996899689969</v>
      </c>
      <c r="AM72" s="57">
        <f t="shared" si="159"/>
        <v>2.4976997699769976</v>
      </c>
      <c r="AN72" s="57">
        <f t="shared" si="160"/>
        <v>0.20897089708970898</v>
      </c>
      <c r="AO72" s="57">
        <f t="shared" si="161"/>
        <v>8.9550000000000005E-2</v>
      </c>
      <c r="AP72" s="57">
        <f t="shared" si="162"/>
        <v>99.499991044104448</v>
      </c>
      <c r="AR72" s="84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4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2"/>
      <c r="BT72" s="84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  <c r="CI72" s="85"/>
      <c r="CJ72" s="84"/>
      <c r="CK72" s="85"/>
      <c r="CL72" s="85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113"/>
      <c r="CY72" s="90">
        <f t="shared" si="88"/>
        <v>2.8364853606115581E-3</v>
      </c>
      <c r="CZ72" s="91">
        <f t="shared" si="195"/>
        <v>0.28284624682273918</v>
      </c>
      <c r="DA72" s="85">
        <f t="shared" si="135"/>
        <v>-0.21715375317726082</v>
      </c>
      <c r="DB72" s="85">
        <f t="shared" si="136"/>
        <v>0.21715375317726082</v>
      </c>
      <c r="DC72" s="85">
        <f t="shared" si="196"/>
        <v>4.7155752518970716E-2</v>
      </c>
      <c r="DD72" s="117"/>
      <c r="DE72" s="97"/>
      <c r="DF72" s="91">
        <f t="shared" si="138"/>
        <v>0.26787584966343575</v>
      </c>
      <c r="DG72" s="85">
        <f t="shared" si="139"/>
        <v>-0.23212415033656425</v>
      </c>
      <c r="DH72" s="85">
        <f t="shared" si="140"/>
        <v>0.23212415033656425</v>
      </c>
      <c r="DI72" s="85">
        <f t="shared" si="201"/>
        <v>5.3881621169471879E-2</v>
      </c>
      <c r="DK72" s="117"/>
      <c r="DL72" s="99"/>
      <c r="DM72" s="85"/>
      <c r="DN72" s="85"/>
      <c r="DO72" s="85"/>
      <c r="DP72" s="117"/>
      <c r="DQ72" s="99">
        <f>'Eq. 4 coef.'!$B$15+'Eq. 4 coef.'!$B$16*'Data and calc.'!G72^2+'Eq. 4 coef.'!$B$17*'Data and calc.'!G72+'Eq. 4 coef.'!$B$18*'Data and calc.'!O72+'Eq. 4 coef.'!$B$19*'Data and calc.'!P72+'Eq. 4 coef.'!$B$20*'Data and calc.'!Q72+'Eq. 4 coef.'!$B$21*'Data and calc.'!R72+'Eq. 4 coef.'!$B$22*'Data and calc.'!S72+'Eq. 4 coef.'!$B$23*'Data and calc.'!T72+'Eq. 4 coef.'!$B$24*'Data and calc.'!U72+'Eq. 4 coef.'!$B$25*'Data and calc.'!V72+'Eq. 4 coef.'!$B$26*'Data and calc.'!W72+'Eq. 4 coef.'!$B$27*'Data and calc.'!X72</f>
        <v>0.19433684903242465</v>
      </c>
      <c r="DR72" s="85">
        <f t="shared" si="199"/>
        <v>-0.30566315096757535</v>
      </c>
      <c r="DS72" s="85">
        <f t="shared" si="145"/>
        <v>0.30566315096757535</v>
      </c>
      <c r="DT72" s="85">
        <f t="shared" si="200"/>
        <v>9.3429961859426758E-2</v>
      </c>
    </row>
    <row r="73" spans="1:125" ht="15" x14ac:dyDescent="0.2">
      <c r="A73" s="66" t="s">
        <v>603</v>
      </c>
      <c r="B73" s="73">
        <v>0.5</v>
      </c>
      <c r="C73" s="73">
        <v>0.03</v>
      </c>
      <c r="D73" s="126">
        <f t="shared" si="111"/>
        <v>6</v>
      </c>
      <c r="E73" s="72">
        <f t="shared" si="112"/>
        <v>5.0251256281407036E-3</v>
      </c>
      <c r="F73" s="64">
        <f t="shared" si="113"/>
        <v>0.66431337370361354</v>
      </c>
      <c r="G73" s="73">
        <v>0.81505421519283827</v>
      </c>
      <c r="H73" s="73">
        <v>1.019802066389847E-2</v>
      </c>
      <c r="I73" s="126">
        <f t="shared" si="106"/>
        <v>1.2512076465349808</v>
      </c>
      <c r="J73" s="70">
        <v>1230</v>
      </c>
      <c r="K73" s="70">
        <v>204.1</v>
      </c>
      <c r="L73" s="73">
        <v>2.864758541044132E-2</v>
      </c>
      <c r="M73" s="70">
        <v>2.6</v>
      </c>
      <c r="N73" s="64">
        <f>M73+2*LOG(L73)</f>
        <v>-0.48582395417245605</v>
      </c>
      <c r="O73" s="76">
        <v>50.137081497068166</v>
      </c>
      <c r="P73" s="73">
        <v>1.317461709989771</v>
      </c>
      <c r="Q73" s="73">
        <v>17.69006654969753</v>
      </c>
      <c r="R73" s="73">
        <v>8.7942248160573637</v>
      </c>
      <c r="S73" s="73">
        <v>0.17342687327822376</v>
      </c>
      <c r="T73" s="73">
        <v>6.8600802856223595</v>
      </c>
      <c r="U73" s="73">
        <v>12.266430599799047</v>
      </c>
      <c r="V73" s="73">
        <v>2.5636489486565068</v>
      </c>
      <c r="W73" s="73">
        <v>0.19757871983102315</v>
      </c>
      <c r="X73" s="73">
        <v>0</v>
      </c>
      <c r="Y73" s="73">
        <f t="shared" si="148"/>
        <v>100</v>
      </c>
      <c r="Z73" s="73">
        <v>2.7612276684875301</v>
      </c>
      <c r="AA73" s="73">
        <v>0.27411345485364608</v>
      </c>
      <c r="AB73" s="59">
        <f>(R73-AC73)*1.11</f>
        <v>1.9332107681533188</v>
      </c>
      <c r="AC73" s="60">
        <f>R73*1.11/(AA73+1.11)</f>
        <v>7.0525934933967163</v>
      </c>
      <c r="AD73" s="57">
        <f>100-R73+AB73+AC73</f>
        <v>100.19157944549266</v>
      </c>
      <c r="AE73" s="57"/>
      <c r="AF73" s="57">
        <f t="shared" si="152"/>
        <v>49.886396089582824</v>
      </c>
      <c r="AG73" s="57">
        <f t="shared" si="153"/>
        <v>1.3108744014398221</v>
      </c>
      <c r="AH73" s="57">
        <f t="shared" si="154"/>
        <v>17.60161621694904</v>
      </c>
      <c r="AI73" s="57">
        <f t="shared" si="155"/>
        <v>8.7502536919770773</v>
      </c>
      <c r="AJ73" s="57">
        <f t="shared" si="156"/>
        <v>0.17255973891183263</v>
      </c>
      <c r="AK73" s="57">
        <f t="shared" si="157"/>
        <v>6.8257798841942474</v>
      </c>
      <c r="AL73" s="57">
        <f t="shared" si="158"/>
        <v>12.205098446800053</v>
      </c>
      <c r="AM73" s="57">
        <f t="shared" si="159"/>
        <v>2.5508307039132241</v>
      </c>
      <c r="AN73" s="57">
        <f t="shared" si="160"/>
        <v>0.19659082623186805</v>
      </c>
      <c r="AO73" s="57">
        <f t="shared" si="161"/>
        <v>0</v>
      </c>
      <c r="AP73" s="57">
        <f t="shared" si="162"/>
        <v>99.499999999999986</v>
      </c>
      <c r="AQ73" s="57"/>
      <c r="AR73" s="84">
        <f t="shared" ref="AR73:BA73" si="208">O73*(100-$B73)/$AD73</f>
        <v>49.791006754936497</v>
      </c>
      <c r="AS73" s="85">
        <f t="shared" si="208"/>
        <v>1.3083678375915597</v>
      </c>
      <c r="AT73" s="85">
        <f t="shared" si="208"/>
        <v>17.567959617329787</v>
      </c>
      <c r="AU73" s="85">
        <f t="shared" si="208"/>
        <v>8.7335220588447626</v>
      </c>
      <c r="AV73" s="85">
        <f t="shared" si="208"/>
        <v>0.17222978205040723</v>
      </c>
      <c r="AW73" s="85">
        <f t="shared" si="208"/>
        <v>6.812728097482168</v>
      </c>
      <c r="AX73" s="85">
        <f t="shared" si="208"/>
        <v>12.181760697205103</v>
      </c>
      <c r="AY73" s="85">
        <f t="shared" si="208"/>
        <v>2.545953180926702</v>
      </c>
      <c r="AZ73" s="85">
        <f t="shared" si="208"/>
        <v>0.19621491877849831</v>
      </c>
      <c r="BA73" s="85">
        <f t="shared" si="208"/>
        <v>0</v>
      </c>
      <c r="BB73" s="85">
        <f>SUM(AR73:BA73)</f>
        <v>99.309742945145473</v>
      </c>
      <c r="BC73" s="85">
        <f>AB73*(100-$B73)/$AD73</f>
        <v>1.9198666444409338</v>
      </c>
      <c r="BD73" s="85">
        <f>AC73*(100-$B73)/$AD73</f>
        <v>7.0039124692583368</v>
      </c>
      <c r="BE73" s="85">
        <f>BB73+BC73+BD73+B73-AU73</f>
        <v>99.999999999999972</v>
      </c>
      <c r="BF73" s="84">
        <f>AR73*100/(100-$B73)</f>
        <v>50.041212819031657</v>
      </c>
      <c r="BG73" s="85">
        <f>AS73*100/(100-$B73)</f>
        <v>1.3149425503432761</v>
      </c>
      <c r="BH73" s="85">
        <f>AT73*100/(100-$B73)</f>
        <v>17.65624082143697</v>
      </c>
      <c r="BI73" s="85">
        <f>BC73*100/(100-$B73)</f>
        <v>1.9295142155185263</v>
      </c>
      <c r="BJ73" s="85">
        <f>BD73*100/(100-$B73)</f>
        <v>7.0391080093048615</v>
      </c>
      <c r="BK73" s="85">
        <f t="shared" ref="BK73:BP73" si="209">AV73*100/(100-$B73)</f>
        <v>0.17309525834211781</v>
      </c>
      <c r="BL73" s="85">
        <f t="shared" si="209"/>
        <v>6.8469629120423798</v>
      </c>
      <c r="BM73" s="85">
        <f t="shared" si="209"/>
        <v>12.242975575080505</v>
      </c>
      <c r="BN73" s="85">
        <f t="shared" si="209"/>
        <v>2.5587469155042233</v>
      </c>
      <c r="BO73" s="85">
        <f t="shared" si="209"/>
        <v>0.19720092339547568</v>
      </c>
      <c r="BP73" s="85">
        <f t="shared" si="209"/>
        <v>0</v>
      </c>
      <c r="BQ73" s="85">
        <f>SUM(BF73:BP73)</f>
        <v>99.999999999999986</v>
      </c>
      <c r="BR73" s="85"/>
      <c r="BS73" s="82">
        <f>AR73/Weights!$B$5*2+AS73/Weights!$B$7*2+AT73/Weights!$B$8*3+'Data and calc.'!BC73/Weights!$B$20*3+'Data and calc.'!BD73/Weights!$B$10+'Data and calc.'!AV73/Weights!$B$11+'Data and calc.'!AW73/Weights!$B$13+'Data and calc.'!AX73/Weights!$B$14+'Data and calc.'!AY73/Weights!$B$15+AZ73/Weights!$B$16+B73/Weights!$B$19+'Data and calc.'!BA73/Weights!$B$6*5</f>
        <v>2.8002447257806096</v>
      </c>
      <c r="BT73" s="84">
        <f>AR73/Weights!$B$5*8/'Data and calc.'!$BS73</f>
        <v>2.3675180428254574</v>
      </c>
      <c r="BU73" s="85">
        <f>AS73/Weights!$B$7*8/'Data and calc.'!$BS73</f>
        <v>4.6802317966401552E-2</v>
      </c>
      <c r="BV73" s="85">
        <f>AT73/Weights!$B$8*8/'Data and calc.'!$BS73*2</f>
        <v>0.98449873953156097</v>
      </c>
      <c r="BW73" s="85">
        <f>BC73/Weights!$B$20*8/'Data and calc.'!$BS73*2</f>
        <v>6.8695058236154835E-2</v>
      </c>
      <c r="BX73" s="85">
        <f>BD73/Weights!$B$10*8/'Data and calc.'!$BS73</f>
        <v>0.27851218776984982</v>
      </c>
      <c r="BY73" s="85">
        <f>AV73/Weights!$B$11*8/'Data and calc.'!$BS73</f>
        <v>6.9363206913223823E-3</v>
      </c>
      <c r="BZ73" s="85">
        <f>AW73/Weights!$B$13*8/'Data and calc.'!$BS73</f>
        <v>0.48291078538962828</v>
      </c>
      <c r="CA73" s="85">
        <f>AX73/Weights!$B$14*8/'Data and calc.'!$BS73</f>
        <v>0.62061074589891396</v>
      </c>
      <c r="CB73" s="85">
        <f>AY73/Weights!$B$15*8/'Data and calc.'!$BS73*2</f>
        <v>0.23471080132453459</v>
      </c>
      <c r="CC73" s="85">
        <f>AZ73/Weights!$B$16*8/'Data and calc.'!$BS73*2</f>
        <v>1.1902149550709326E-2</v>
      </c>
      <c r="CD73" s="85">
        <f>BA73/Weights!$B$6*8/'Data and calc.'!$BS73*2</f>
        <v>0</v>
      </c>
      <c r="CE73" s="85">
        <f>B73/Weights!$B$19*8/'Data and calc.'!$BS73*2</f>
        <v>0.15858413315474404</v>
      </c>
      <c r="CF73" s="85">
        <f>SUM(BT73:BW73)*4</f>
        <v>13.870056634238301</v>
      </c>
      <c r="CG73" s="85">
        <f>(16-CF73)/SUM(BT73:BW73)</f>
        <v>0.61425657354676511</v>
      </c>
      <c r="CH73" s="85">
        <f>CE73/SUM(BT73:CD73)</f>
        <v>3.1076056073140897E-2</v>
      </c>
      <c r="CI73" s="85">
        <f>AR73/Weights!$B$5*2+AS73/Weights!$B$7*2+AT73/Weights!$B$8*3+'Data and calc.'!BC73/Weights!$B$20*3+'Data and calc.'!BD73/Weights!$B$10+'Data and calc.'!AV73/Weights!$B$11+'Data and calc.'!AW73/Weights!$B$13+'Data and calc.'!AX73/Weights!$B$14+'Data and calc.'!AY73/Weights!$B$15+AZ73/Weights!$B$16+'Data and calc.'!BA73/Weights!$B$6*5</f>
        <v>2.7724900768769181</v>
      </c>
      <c r="CJ73" s="84">
        <f>AR73/Weights!$B$5*8/'Data and calc.'!$CI73</f>
        <v>2.3912186261385617</v>
      </c>
      <c r="CK73" s="85">
        <f>AS73/Weights!$B$7*8/'Data and calc.'!$CI73</f>
        <v>4.7270843323397475E-2</v>
      </c>
      <c r="CL73" s="85">
        <f>AT73/Weights!$B$8*8/'Data and calc.'!$CI73*2</f>
        <v>0.99435429035560752</v>
      </c>
      <c r="CM73" s="85">
        <f>BC73/Weights!$B$20*8/'Data and calc.'!$CI73*2</f>
        <v>6.9382745899553372E-2</v>
      </c>
      <c r="CN73" s="85">
        <f>BD73/Weights!$B$10*8/'Data and calc.'!$CI73</f>
        <v>0.28130029801465134</v>
      </c>
      <c r="CO73" s="85">
        <f>AV73/Weights!$B$11*8/'Data and calc.'!$CI73</f>
        <v>7.0057583232463611E-3</v>
      </c>
      <c r="CP73" s="85">
        <f>AW73/Weights!$B$13*8/'Data and calc.'!$CI73</f>
        <v>0.48774507475718226</v>
      </c>
      <c r="CQ73" s="85">
        <f>AX73/Weights!$B$14*8/'Data and calc.'!$CI73</f>
        <v>0.6268235123581849</v>
      </c>
      <c r="CR73" s="85">
        <f>AY73/Weights!$B$15*8/'Data and calc.'!$CI73*2</f>
        <v>0.23706042772680638</v>
      </c>
      <c r="CS73" s="85">
        <f>AZ73/Weights!$B$16*8/'Data and calc.'!$CI73*2</f>
        <v>1.2021298753346428E-2</v>
      </c>
      <c r="CT73" s="85">
        <f>BA73/Weights!$B$6*8/'Data and calc.'!$CI73*2</f>
        <v>0</v>
      </c>
      <c r="CU73" s="85">
        <f>CJ73*2+CK73*2+CL73*1.5+CM73*1.5+CN73+CO73+CP73+CQ73+CR73*0.5+CS73*0.5+CT73*2.5</f>
        <v>8.0000000000000018</v>
      </c>
      <c r="CV73" s="85">
        <f>SUM(CJ73:CM73)*4</f>
        <v>14.00890602286848</v>
      </c>
      <c r="CW73" s="85">
        <f>(16-CV73)/SUM(CJ73:CM73)</f>
        <v>0.5685223311174219</v>
      </c>
      <c r="CX73" s="113"/>
      <c r="CY73" s="90">
        <f t="shared" si="88"/>
        <v>3.3476167928103372E-3</v>
      </c>
      <c r="CZ73" s="91">
        <f t="shared" si="195"/>
        <v>0.3336447644646785</v>
      </c>
      <c r="DA73" s="85">
        <f t="shared" si="135"/>
        <v>-0.1663552355353215</v>
      </c>
      <c r="DB73" s="85">
        <f t="shared" si="136"/>
        <v>0.1663552355353215</v>
      </c>
      <c r="DC73" s="85">
        <f t="shared" si="196"/>
        <v>2.7674064390012292E-2</v>
      </c>
      <c r="DD73" s="117"/>
      <c r="DE73" s="97"/>
      <c r="DF73" s="91">
        <f t="shared" si="138"/>
        <v>0.31945595079642047</v>
      </c>
      <c r="DG73" s="85">
        <f t="shared" si="139"/>
        <v>-0.18054404920357953</v>
      </c>
      <c r="DH73" s="85">
        <f t="shared" si="140"/>
        <v>0.18054404920357953</v>
      </c>
      <c r="DI73" s="85">
        <f t="shared" si="201"/>
        <v>3.2596153702824544E-2</v>
      </c>
      <c r="DK73" s="117"/>
      <c r="DL73" s="99">
        <f>'Eq. 3 coef.'!$B$15+'Eq. 3 coef.'!$B$16*'Data and calc.'!G73^2+'Eq. 3 coef.'!$B$17*'Data and calc.'!G73+'Eq. 3 coef.'!$B$18*'Data and calc.'!BF73+'Eq. 3 coef.'!$B$19*'Data and calc.'!BG73+'Eq. 3 coef.'!$B$20*'Data and calc.'!BH73+'Eq. 3 coef.'!$B$21*'Data and calc.'!BI73+'Eq. 3 coef.'!$B$22*'Data and calc.'!BJ73+'Eq. 3 coef.'!$B$23*'Data and calc.'!BK73+'Eq. 3 coef.'!$B$24*'Data and calc.'!BL73+'Eq. 3 coef.'!$B$25*'Data and calc.'!BM73+'Eq. 3 coef.'!$B$26*'Data and calc.'!BN73+'Eq. 3 coef.'!$B$27*'Data and calc.'!BO73+'Eq. 3 coef.'!$B$28*'Data and calc.'!BP73</f>
        <v>0.21815854984743055</v>
      </c>
      <c r="DM73" s="85">
        <f>DL73-B73</f>
        <v>-0.28184145015256945</v>
      </c>
      <c r="DN73" s="85">
        <f t="shared" si="143"/>
        <v>0.28184145015256945</v>
      </c>
      <c r="DO73" s="85">
        <f t="shared" si="207"/>
        <v>7.9434603024103295E-2</v>
      </c>
      <c r="DP73" s="117"/>
      <c r="DQ73" s="99">
        <f>'Eq. 4 coef.'!$B$15+'Eq. 4 coef.'!$B$16*'Data and calc.'!G73^2+'Eq. 4 coef.'!$B$17*'Data and calc.'!G73+'Eq. 4 coef.'!$B$18*'Data and calc.'!O73+'Eq. 4 coef.'!$B$19*'Data and calc.'!P73+'Eq. 4 coef.'!$B$20*'Data and calc.'!Q73+'Eq. 4 coef.'!$B$21*'Data and calc.'!R73+'Eq. 4 coef.'!$B$22*'Data and calc.'!S73+'Eq. 4 coef.'!$B$23*'Data and calc.'!T73+'Eq. 4 coef.'!$B$24*'Data and calc.'!U73+'Eq. 4 coef.'!$B$25*'Data and calc.'!V73+'Eq. 4 coef.'!$B$26*'Data and calc.'!W73+'Eq. 4 coef.'!$B$27*'Data and calc.'!X73</f>
        <v>0.30978003572056423</v>
      </c>
      <c r="DR73" s="85">
        <f t="shared" si="199"/>
        <v>-0.19021996427943577</v>
      </c>
      <c r="DS73" s="85">
        <f t="shared" si="145"/>
        <v>0.19021996427943577</v>
      </c>
      <c r="DT73" s="85">
        <f t="shared" si="200"/>
        <v>3.6183634810469822E-2</v>
      </c>
    </row>
    <row r="74" spans="1:125" ht="15" x14ac:dyDescent="0.2">
      <c r="A74" s="66" t="s">
        <v>605</v>
      </c>
      <c r="B74" s="73">
        <v>6.8</v>
      </c>
      <c r="C74" s="73">
        <v>0.1</v>
      </c>
      <c r="D74" s="126">
        <f t="shared" si="111"/>
        <v>1.4705882352941178</v>
      </c>
      <c r="E74" s="72">
        <f t="shared" si="112"/>
        <v>7.2961373390557929E-2</v>
      </c>
      <c r="F74" s="64">
        <f t="shared" si="113"/>
        <v>81.673932920570067</v>
      </c>
      <c r="G74" s="73">
        <v>9.0373631619278232</v>
      </c>
      <c r="H74" s="73">
        <v>0.13365343934301907</v>
      </c>
      <c r="I74" s="126">
        <f t="shared" si="106"/>
        <v>1.4788986228424232</v>
      </c>
      <c r="L74" s="73"/>
      <c r="N74" s="50"/>
      <c r="O74" s="76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59"/>
      <c r="AC74" s="60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84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4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2"/>
      <c r="BT74" s="84"/>
      <c r="BU74" s="85"/>
      <c r="BV74" s="85"/>
      <c r="BW74" s="85"/>
      <c r="BX74" s="85"/>
      <c r="BY74" s="85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4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113"/>
      <c r="CY74" s="90">
        <f t="shared" ref="CY74:CY77" si="210">$CZ$2*G74+$DB$2</f>
        <v>7.414169682419855E-2</v>
      </c>
      <c r="CZ74" s="91">
        <f t="shared" si="195"/>
        <v>6.9024130655578757</v>
      </c>
      <c r="DA74" s="85">
        <f t="shared" si="135"/>
        <v>0.10241306555787588</v>
      </c>
      <c r="DB74" s="85">
        <f t="shared" si="136"/>
        <v>0.10241306555787588</v>
      </c>
      <c r="DC74" s="85">
        <f t="shared" si="196"/>
        <v>1.0488435996961783E-2</v>
      </c>
      <c r="DD74" s="117"/>
      <c r="DE74" s="97"/>
      <c r="DF74" s="91">
        <f t="shared" si="138"/>
        <v>6.8772463180073835</v>
      </c>
      <c r="DG74" s="85">
        <f t="shared" si="139"/>
        <v>7.7246318007383685E-2</v>
      </c>
      <c r="DH74" s="85">
        <f t="shared" si="140"/>
        <v>7.7246318007383685E-2</v>
      </c>
      <c r="DI74" s="85">
        <f t="shared" si="201"/>
        <v>5.9669936456978488E-3</v>
      </c>
      <c r="DK74" s="117"/>
      <c r="DL74" s="99"/>
      <c r="DM74" s="85"/>
      <c r="DN74" s="85"/>
      <c r="DO74" s="85"/>
      <c r="DP74" s="117"/>
      <c r="DQ74" s="99"/>
      <c r="DR74" s="85"/>
      <c r="DS74" s="85"/>
      <c r="DT74" s="85"/>
    </row>
    <row r="75" spans="1:125" ht="15" x14ac:dyDescent="0.2">
      <c r="A75" s="66" t="s">
        <v>606</v>
      </c>
      <c r="B75" s="73">
        <v>7.2</v>
      </c>
      <c r="C75" s="73">
        <v>0.1</v>
      </c>
      <c r="D75" s="126">
        <f t="shared" si="111"/>
        <v>1.3888888888888888</v>
      </c>
      <c r="E75" s="72">
        <f t="shared" si="112"/>
        <v>7.7586206896551727E-2</v>
      </c>
      <c r="F75" s="64">
        <f t="shared" si="113"/>
        <v>88.245923087900209</v>
      </c>
      <c r="G75" s="73">
        <v>9.3939301193856135</v>
      </c>
      <c r="H75" s="73">
        <v>4.5425350594612772E-2</v>
      </c>
      <c r="I75" s="126">
        <f t="shared" si="106"/>
        <v>0.48356066116429341</v>
      </c>
      <c r="L75" s="73"/>
      <c r="N75" s="50"/>
      <c r="O75" s="76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59"/>
      <c r="AC75" s="60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84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4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2"/>
      <c r="BT75" s="84"/>
      <c r="BU75" s="85"/>
      <c r="BV75" s="85"/>
      <c r="BW75" s="85"/>
      <c r="BX75" s="85"/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4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113"/>
      <c r="CY75" s="90">
        <f t="shared" si="210"/>
        <v>7.7211738327910118E-2</v>
      </c>
      <c r="CZ75" s="91">
        <f t="shared" si="195"/>
        <v>7.1677401555019422</v>
      </c>
      <c r="DA75" s="85">
        <f t="shared" si="135"/>
        <v>-3.2259844498057966E-2</v>
      </c>
      <c r="DB75" s="85">
        <f t="shared" si="136"/>
        <v>3.2259844498057966E-2</v>
      </c>
      <c r="DC75" s="85">
        <f t="shared" si="196"/>
        <v>1.0406975670388808E-3</v>
      </c>
      <c r="DD75" s="117"/>
      <c r="DE75" s="97"/>
      <c r="DF75" s="91">
        <f t="shared" si="138"/>
        <v>7.1352926002578494</v>
      </c>
      <c r="DG75" s="85">
        <f t="shared" si="139"/>
        <v>-6.4707399742150784E-2</v>
      </c>
      <c r="DH75" s="85">
        <f t="shared" si="140"/>
        <v>6.4707399742150784E-2</v>
      </c>
      <c r="DI75" s="85">
        <f t="shared" si="201"/>
        <v>4.1870475813904949E-3</v>
      </c>
      <c r="DK75" s="117"/>
      <c r="DL75" s="99"/>
      <c r="DM75" s="85"/>
      <c r="DN75" s="85"/>
      <c r="DO75" s="85"/>
      <c r="DP75" s="117"/>
      <c r="DQ75" s="99"/>
      <c r="DR75" s="85"/>
      <c r="DS75" s="85"/>
      <c r="DT75" s="85"/>
    </row>
    <row r="76" spans="1:125" ht="15" x14ac:dyDescent="0.2">
      <c r="A76" s="66" t="s">
        <v>607</v>
      </c>
      <c r="B76" s="73">
        <v>4.0999999999999996</v>
      </c>
      <c r="C76" s="73">
        <v>0.1</v>
      </c>
      <c r="D76" s="126">
        <f t="shared" si="111"/>
        <v>2.4390243902439028</v>
      </c>
      <c r="E76" s="72">
        <f t="shared" si="112"/>
        <v>4.2752867570385815E-2</v>
      </c>
      <c r="F76" s="64">
        <f t="shared" si="113"/>
        <v>28.760857341414614</v>
      </c>
      <c r="G76" s="73">
        <v>5.3629150041199249</v>
      </c>
      <c r="H76" s="73">
        <v>4.2245185218255037E-2</v>
      </c>
      <c r="I76" s="126">
        <f t="shared" si="106"/>
        <v>0.78772803943007175</v>
      </c>
      <c r="L76" s="73"/>
      <c r="N76" s="50"/>
      <c r="O76" s="76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59"/>
      <c r="AC76" s="60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84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4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2"/>
      <c r="BT76" s="84"/>
      <c r="BU76" s="85"/>
      <c r="BV76" s="85"/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84"/>
      <c r="CK76" s="85"/>
      <c r="CL76" s="85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113"/>
      <c r="CY76" s="90">
        <f t="shared" si="210"/>
        <v>4.2504698185472554E-2</v>
      </c>
      <c r="CZ76" s="91">
        <f t="shared" si="195"/>
        <v>4.0771708999924829</v>
      </c>
      <c r="DA76" s="85">
        <f t="shared" si="135"/>
        <v>-2.2829100007516701E-2</v>
      </c>
      <c r="DB76" s="85">
        <f t="shared" si="136"/>
        <v>2.2829100007516701E-2</v>
      </c>
      <c r="DC76" s="85">
        <f t="shared" si="196"/>
        <v>5.2116780715319899E-4</v>
      </c>
      <c r="DD76" s="117"/>
      <c r="DE76" s="97"/>
      <c r="DF76" s="91">
        <f t="shared" si="138"/>
        <v>4.0905315887758009</v>
      </c>
      <c r="DG76" s="85">
        <f t="shared" si="139"/>
        <v>-9.4684112241987251E-3</v>
      </c>
      <c r="DH76" s="85">
        <f t="shared" si="140"/>
        <v>9.4684112241987251E-3</v>
      </c>
      <c r="DI76" s="85">
        <f t="shared" si="201"/>
        <v>8.9650811110532401E-5</v>
      </c>
      <c r="DK76" s="117"/>
      <c r="DL76" s="99"/>
      <c r="DM76" s="85"/>
      <c r="DN76" s="85"/>
      <c r="DO76" s="85"/>
      <c r="DP76" s="117"/>
      <c r="DQ76" s="99"/>
      <c r="DR76" s="85"/>
      <c r="DS76" s="85"/>
      <c r="DT76" s="85"/>
    </row>
    <row r="77" spans="1:125" s="51" customFormat="1" ht="15" x14ac:dyDescent="0.2">
      <c r="A77" s="66" t="s">
        <v>608</v>
      </c>
      <c r="B77" s="73">
        <v>4.3</v>
      </c>
      <c r="C77" s="73">
        <v>0.1</v>
      </c>
      <c r="D77" s="126">
        <f t="shared" si="111"/>
        <v>2.3255813953488373</v>
      </c>
      <c r="E77" s="72">
        <f t="shared" si="112"/>
        <v>4.4932079414838032E-2</v>
      </c>
      <c r="F77" s="64">
        <f t="shared" si="113"/>
        <v>32.031115871351837</v>
      </c>
      <c r="G77" s="73">
        <v>5.659603861698435</v>
      </c>
      <c r="H77" s="73">
        <v>6.5840977309088819E-2</v>
      </c>
      <c r="I77" s="126">
        <f t="shared" si="106"/>
        <v>1.1633495721258851</v>
      </c>
      <c r="J77" s="70"/>
      <c r="K77" s="70"/>
      <c r="L77" s="73"/>
      <c r="M77" s="70"/>
      <c r="N77" s="50"/>
      <c r="O77" s="76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59"/>
      <c r="AC77" s="60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84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4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2"/>
      <c r="BT77" s="84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4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113"/>
      <c r="CY77" s="90">
        <f t="shared" si="210"/>
        <v>4.5059189249223523E-2</v>
      </c>
      <c r="CZ77" s="91">
        <f t="shared" si="195"/>
        <v>4.3116399255428108</v>
      </c>
      <c r="DA77" s="85">
        <f t="shared" si="135"/>
        <v>1.1639925542811014E-2</v>
      </c>
      <c r="DB77" s="85">
        <f t="shared" si="136"/>
        <v>1.1639925542811014E-2</v>
      </c>
      <c r="DC77" s="85">
        <f t="shared" si="196"/>
        <v>1.3548786664218428E-4</v>
      </c>
      <c r="DD77" s="117"/>
      <c r="DE77" s="97"/>
      <c r="DF77" s="91">
        <f t="shared" si="138"/>
        <v>4.3241699438717429</v>
      </c>
      <c r="DG77" s="85">
        <f t="shared" si="139"/>
        <v>2.4169943871743094E-2</v>
      </c>
      <c r="DH77" s="85">
        <f t="shared" si="140"/>
        <v>2.4169943871743094E-2</v>
      </c>
      <c r="DI77" s="85">
        <f t="shared" si="201"/>
        <v>5.8418618676321155E-4</v>
      </c>
      <c r="DJ77" s="79"/>
      <c r="DK77" s="117"/>
      <c r="DL77" s="99"/>
      <c r="DM77" s="85"/>
      <c r="DN77" s="85"/>
      <c r="DO77" s="85"/>
      <c r="DP77" s="117"/>
      <c r="DQ77" s="99"/>
      <c r="DR77" s="85"/>
      <c r="DS77" s="85"/>
      <c r="DT77" s="85"/>
      <c r="DU77" s="62"/>
    </row>
    <row r="78" spans="1:125" x14ac:dyDescent="0.15">
      <c r="A78" s="142" t="s">
        <v>86</v>
      </c>
      <c r="B78" s="73"/>
      <c r="C78" s="73"/>
      <c r="G78" s="73"/>
      <c r="H78" s="71"/>
      <c r="K78" s="73"/>
      <c r="L78" s="73"/>
      <c r="AA78" s="73"/>
      <c r="BT78" s="84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5"/>
      <c r="CI78" s="85"/>
      <c r="CJ78" s="84"/>
      <c r="CK78" s="85"/>
      <c r="CL78" s="85"/>
      <c r="CM78" s="85"/>
      <c r="CN78" s="85"/>
      <c r="CO78" s="85"/>
      <c r="CP78" s="85"/>
      <c r="CQ78" s="85"/>
      <c r="CR78" s="85"/>
      <c r="CS78" s="85"/>
      <c r="CT78" s="85"/>
      <c r="CU78" s="85"/>
      <c r="CV78" s="85"/>
      <c r="CW78" s="85"/>
      <c r="CZ78" s="91"/>
      <c r="DA78" s="85"/>
      <c r="DB78" s="85"/>
      <c r="DC78" s="85"/>
      <c r="DF78" s="91"/>
      <c r="DG78" s="85"/>
      <c r="DH78" s="85"/>
      <c r="DI78" s="85"/>
      <c r="DL78" s="99"/>
      <c r="DM78" s="85"/>
      <c r="DN78" s="85"/>
      <c r="DO78" s="85"/>
      <c r="DR78" s="85"/>
      <c r="DS78" s="85"/>
      <c r="DT78" s="85"/>
    </row>
    <row r="79" spans="1:125" ht="15" x14ac:dyDescent="0.2">
      <c r="A79" s="66" t="s">
        <v>625</v>
      </c>
      <c r="B79" s="73">
        <v>1.65</v>
      </c>
      <c r="C79" s="73">
        <v>0.10198039027185571</v>
      </c>
      <c r="D79" s="126">
        <f>C79*100/B79</f>
        <v>6.1806297134458008</v>
      </c>
      <c r="E79" s="72">
        <f>B79/(100-B79)</f>
        <v>1.677681748856126E-2</v>
      </c>
      <c r="F79" s="64">
        <f t="shared" ref="F79:F81" si="211">G79^2</f>
        <v>5.6287785620680877</v>
      </c>
      <c r="G79" s="73">
        <v>2.3725047022225452</v>
      </c>
      <c r="H79" s="73">
        <v>2.4050241350066261E-2</v>
      </c>
      <c r="I79" s="126">
        <f t="shared" ref="I79:I86" si="212">H79*100/G79</f>
        <v>1.0137067938173596</v>
      </c>
      <c r="J79" s="70">
        <v>1250</v>
      </c>
      <c r="K79" s="70">
        <v>300</v>
      </c>
      <c r="L79" s="73">
        <v>0.14735974839679408</v>
      </c>
      <c r="M79" s="70">
        <v>2.2999999999999998</v>
      </c>
      <c r="N79" s="64">
        <f>M79+2*LOG(L79)</f>
        <v>0.63675774267111129</v>
      </c>
      <c r="O79" s="76">
        <v>61.377858153347262</v>
      </c>
      <c r="P79" s="73">
        <v>0.76707005962843944</v>
      </c>
      <c r="Q79" s="73">
        <v>18.289830097736463</v>
      </c>
      <c r="R79" s="73">
        <v>3.2239644380329446</v>
      </c>
      <c r="S79" s="73">
        <v>0.21145365112316747</v>
      </c>
      <c r="T79" s="73">
        <v>0.59476927914589295</v>
      </c>
      <c r="U79" s="73">
        <v>1.6335084325215721</v>
      </c>
      <c r="V79" s="73">
        <v>8.3165697945662398</v>
      </c>
      <c r="W79" s="73">
        <v>5.5024313444188371</v>
      </c>
      <c r="X79" s="73">
        <v>8.2544749479169136E-2</v>
      </c>
      <c r="Y79" s="73">
        <f t="shared" ref="Y79:Y85" si="213">SUM(O79:X79)</f>
        <v>99.999999999999986</v>
      </c>
      <c r="Z79" s="73">
        <v>13.819001138985076</v>
      </c>
      <c r="AA79" s="73">
        <v>0.60150233423764188</v>
      </c>
      <c r="AB79" s="59">
        <f>(R79-AC79)*1.11</f>
        <v>1.2576883634705229</v>
      </c>
      <c r="AC79" s="60">
        <f>R79*1.11/(AA79+1.11)</f>
        <v>2.090911858329771</v>
      </c>
      <c r="AD79" s="57">
        <f>100-R79+AB79+AC79</f>
        <v>100.12463578376735</v>
      </c>
      <c r="AE79" s="57"/>
      <c r="AF79" s="57">
        <f t="shared" ref="AF79:AO81" si="214">O79*(100-$B79)/100</f>
        <v>60.36512349381703</v>
      </c>
      <c r="AG79" s="57">
        <f t="shared" si="214"/>
        <v>0.75441340364457021</v>
      </c>
      <c r="AH79" s="57">
        <f t="shared" si="214"/>
        <v>17.98804790112381</v>
      </c>
      <c r="AI79" s="57">
        <f t="shared" si="214"/>
        <v>3.1707690248054008</v>
      </c>
      <c r="AJ79" s="57">
        <f t="shared" si="214"/>
        <v>0.20796466587963519</v>
      </c>
      <c r="AK79" s="57">
        <f t="shared" si="214"/>
        <v>0.58495558603998565</v>
      </c>
      <c r="AL79" s="57">
        <f t="shared" si="214"/>
        <v>1.6065555433849661</v>
      </c>
      <c r="AM79" s="57">
        <f t="shared" si="214"/>
        <v>8.1793463929558961</v>
      </c>
      <c r="AN79" s="57">
        <f t="shared" si="214"/>
        <v>5.4116412272359264</v>
      </c>
      <c r="AO79" s="57">
        <f t="shared" si="214"/>
        <v>8.1182761112762847E-2</v>
      </c>
      <c r="AP79" s="57">
        <f t="shared" ref="AP79:AP85" si="215">SUM(AF79:AO79)</f>
        <v>98.349999999999966</v>
      </c>
      <c r="AQ79" s="57"/>
      <c r="AR79" s="84">
        <f t="shared" ref="AR79:BA81" si="216">O79*(100-$B79)/$AD79</f>
        <v>60.289980603958107</v>
      </c>
      <c r="AS79" s="85">
        <f t="shared" si="216"/>
        <v>0.75347430503899926</v>
      </c>
      <c r="AT79" s="85">
        <f t="shared" si="216"/>
        <v>17.965656264629441</v>
      </c>
      <c r="AU79" s="85">
        <f t="shared" si="216"/>
        <v>3.1668220313461153</v>
      </c>
      <c r="AV79" s="85">
        <f t="shared" si="216"/>
        <v>0.20770579014016383</v>
      </c>
      <c r="AW79" s="85">
        <f t="shared" si="216"/>
        <v>0.58422742960411478</v>
      </c>
      <c r="AX79" s="85">
        <f t="shared" si="216"/>
        <v>1.6045556928212348</v>
      </c>
      <c r="AY79" s="85">
        <f t="shared" si="216"/>
        <v>8.1691646905166255</v>
      </c>
      <c r="AZ79" s="85">
        <f t="shared" si="216"/>
        <v>5.4049047817992522</v>
      </c>
      <c r="BA79" s="85">
        <f t="shared" si="216"/>
        <v>8.1081704295122695E-2</v>
      </c>
      <c r="BB79" s="85">
        <f t="shared" ref="BB79:BB85" si="217">SUM(AR79:BA79)</f>
        <v>98.227573294149167</v>
      </c>
      <c r="BC79" s="85">
        <f t="shared" ref="BC79:BD81" si="218">AB79*(100-$B79)/$AD79</f>
        <v>1.2353967590399932</v>
      </c>
      <c r="BD79" s="85">
        <f t="shared" si="218"/>
        <v>2.0538519781569327</v>
      </c>
      <c r="BE79" s="85">
        <f>BB79+BC79+BD79+B79-AU79</f>
        <v>99.999999999999986</v>
      </c>
      <c r="BF79" s="84">
        <f t="shared" ref="BF79:BH81" si="219">AR79*100/(100-$B79)</f>
        <v>61.301454604939615</v>
      </c>
      <c r="BG79" s="85">
        <f t="shared" si="219"/>
        <v>0.76611520593695914</v>
      </c>
      <c r="BH79" s="85">
        <f t="shared" si="219"/>
        <v>18.267062800843355</v>
      </c>
      <c r="BI79" s="85">
        <f t="shared" ref="BI79:BJ81" si="220">BC79*100/(100-$B79)</f>
        <v>1.2561227849923673</v>
      </c>
      <c r="BJ79" s="85">
        <f t="shared" si="220"/>
        <v>2.0883090779429923</v>
      </c>
      <c r="BK79" s="85">
        <f t="shared" ref="BK79:BP81" si="221">AV79*100/(100-$B79)</f>
        <v>0.21119043227266279</v>
      </c>
      <c r="BL79" s="85">
        <f t="shared" si="221"/>
        <v>0.59402890656239427</v>
      </c>
      <c r="BM79" s="85">
        <f t="shared" si="221"/>
        <v>1.6314750308299288</v>
      </c>
      <c r="BN79" s="85">
        <f t="shared" si="221"/>
        <v>8.3062172755634229</v>
      </c>
      <c r="BO79" s="85">
        <f t="shared" si="221"/>
        <v>5.4955818828665501</v>
      </c>
      <c r="BP79" s="85">
        <f t="shared" si="221"/>
        <v>8.2441997249743465E-2</v>
      </c>
      <c r="BQ79" s="85">
        <f t="shared" ref="BQ79:BQ85" si="222">SUM(BF79:BP79)</f>
        <v>100.00000000000001</v>
      </c>
      <c r="BR79" s="85"/>
      <c r="BS79" s="82">
        <f>AR79/Weights!$B$5*2+AS79/Weights!$B$7*2+AT79/Weights!$B$8*3+'Data and calc.'!BC79/Weights!$B$20*3+'Data and calc.'!BD79/Weights!$B$10+'Data and calc.'!AV79/Weights!$B$11+'Data and calc.'!AW79/Weights!$B$13+'Data and calc.'!AX79/Weights!$B$14+'Data and calc.'!AY79/Weights!$B$15+AZ79/Weights!$B$16+B79/Weights!$B$19+'Data and calc.'!BA79/Weights!$B$6*5</f>
        <v>2.935833226728406</v>
      </c>
      <c r="BT79" s="84">
        <f>AR79/Weights!$B$5*8/'Data and calc.'!$BS79</f>
        <v>2.7343376378098898</v>
      </c>
      <c r="BU79" s="85">
        <f>AS79/Weights!$B$7*8/'Data and calc.'!$BS79</f>
        <v>2.570813407655697E-2</v>
      </c>
      <c r="BV79" s="85">
        <f>AT79/Weights!$B$8*8/'Data and calc.'!$BS79*2</f>
        <v>0.96028806805276978</v>
      </c>
      <c r="BW79" s="85">
        <f>BC79/Weights!$B$20*8/'Data and calc.'!$BS79*2</f>
        <v>4.2162416778465356E-2</v>
      </c>
      <c r="BX79" s="85">
        <f>BD79/Weights!$B$10*8/'Data and calc.'!$BS79</f>
        <v>7.7899961326394415E-2</v>
      </c>
      <c r="BY79" s="85">
        <f>AV79/Weights!$B$11*8/'Data and calc.'!$BS79</f>
        <v>7.978736486327697E-3</v>
      </c>
      <c r="BZ79" s="85">
        <f>AW79/Weights!$B$13*8/'Data and calc.'!$BS79</f>
        <v>3.9499572816959934E-2</v>
      </c>
      <c r="CA79" s="85">
        <f>AX79/Weights!$B$14*8/'Data and calc.'!$BS79</f>
        <v>7.7970196652622614E-2</v>
      </c>
      <c r="CB79" s="85">
        <f>AY79/Weights!$B$15*8/'Data and calc.'!$BS79*2</f>
        <v>0.71833151654008953</v>
      </c>
      <c r="CC79" s="85">
        <f>AZ79/Weights!$B$16*8/'Data and calc.'!$BS79*2</f>
        <v>0.31271306906625285</v>
      </c>
      <c r="CD79" s="85">
        <f>BA79/Weights!$B$6*8/'Data and calc.'!$BS79*2</f>
        <v>3.1131316741089634E-3</v>
      </c>
      <c r="CE79" s="85">
        <f>B79/Weights!$B$19*8/'Data and calc.'!$BS79*2</f>
        <v>0.49915827941900753</v>
      </c>
      <c r="CF79" s="85">
        <f t="shared" ref="CF79:CF86" si="223">SUM(BT79:BW79)*4</f>
        <v>15.049985026870727</v>
      </c>
      <c r="CG79" s="85">
        <f t="shared" ref="CG79:CG86" si="224">(16-CF79)/SUM(BT79:BW79)</f>
        <v>0.25249592512765567</v>
      </c>
      <c r="CH79" s="85">
        <f>CE79/SUM(BT79:CD79)</f>
        <v>9.9831607140411602E-2</v>
      </c>
      <c r="CI79" s="85">
        <f>AR79/Weights!$B$5*2+AS79/Weights!$B$7*2+AT79/Weights!$B$8*3+'Data and calc.'!BC79/Weights!$B$20*3+'Data and calc.'!BD79/Weights!$B$10+'Data and calc.'!AV79/Weights!$B$11+'Data and calc.'!AW79/Weights!$B$13+'Data and calc.'!AX79/Weights!$B$14+'Data and calc.'!AY79/Weights!$B$15+AZ79/Weights!$B$16+'Data and calc.'!BA79/Weights!$B$6*5</f>
        <v>2.8442428853462243</v>
      </c>
      <c r="CJ79" s="84">
        <f>AR79/Weights!$B$5*8/'Data and calc.'!$CI79</f>
        <v>2.8223888091748384</v>
      </c>
      <c r="CK79" s="85">
        <f>AS79/Weights!$B$7*8/'Data and calc.'!$CI79</f>
        <v>2.6535987699221171E-2</v>
      </c>
      <c r="CL79" s="85">
        <f>AT79/Weights!$B$8*8/'Data and calc.'!$CI79*2</f>
        <v>0.99121127522024854</v>
      </c>
      <c r="CM79" s="85">
        <f>BC79/Weights!$B$20*8/'Data and calc.'!$CI79*2</f>
        <v>4.3520131397752307E-2</v>
      </c>
      <c r="CN79" s="85">
        <f>BD79/Weights!$B$10*8/'Data and calc.'!$CI79</f>
        <v>8.0408496757142164E-2</v>
      </c>
      <c r="CO79" s="85">
        <f>AV79/Weights!$B$11*8/'Data and calc.'!$CI79</f>
        <v>8.2356678483946413E-3</v>
      </c>
      <c r="CP79" s="85">
        <f>AW79/Weights!$B$13*8/'Data and calc.'!$CI79</f>
        <v>4.0771538505050359E-2</v>
      </c>
      <c r="CQ79" s="85">
        <f>AX79/Weights!$B$14*8/'Data and calc.'!$CI79</f>
        <v>8.048099380213547E-2</v>
      </c>
      <c r="CR79" s="85">
        <f>AY79/Weights!$B$15*8/'Data and calc.'!$CI79*2</f>
        <v>0.74146323611455145</v>
      </c>
      <c r="CS79" s="85">
        <f>AZ79/Weights!$B$16*8/'Data and calc.'!$CI79*2</f>
        <v>0.32278305883330516</v>
      </c>
      <c r="CT79" s="85">
        <f>BA79/Weights!$B$6*8/'Data and calc.'!$CI79*2</f>
        <v>3.2133807752909868E-3</v>
      </c>
      <c r="CU79" s="85">
        <f t="shared" ref="CU79:CU86" si="225">CJ79*2+CK79*2+CL79*1.5+CM79*1.5+CN79+CO79+CP79+CQ79+CR79*0.5+CS79*0.5+CT79*2.5</f>
        <v>7.9999999999999982</v>
      </c>
      <c r="CV79" s="85">
        <f t="shared" ref="CV79:CV86" si="226">SUM(CJ79:CM79)*4</f>
        <v>15.534624813968241</v>
      </c>
      <c r="CW79" s="85">
        <f t="shared" ref="CW79:CW86" si="227">(16-CV79)/SUM(CJ79:CM79)</f>
        <v>0.11982914080121412</v>
      </c>
      <c r="CX79" s="113"/>
      <c r="CY79" s="90">
        <f t="shared" ref="CY79:CY81" si="228">$CZ$2*G79+$DB$2</f>
        <v>1.6757265486136114E-2</v>
      </c>
      <c r="CZ79" s="91">
        <f t="shared" ref="CZ79:CZ86" si="229">100*CY79/(1+CY79)</f>
        <v>1.648108752694682</v>
      </c>
      <c r="DA79" s="85">
        <f>CZ79-B79</f>
        <v>-1.8912473053178669E-3</v>
      </c>
      <c r="DB79" s="85">
        <f t="shared" ref="DB79:DB86" si="230">ABS(DA79)</f>
        <v>1.8912473053178669E-3</v>
      </c>
      <c r="DC79" s="85">
        <f t="shared" ref="DC79:DC86" si="231">DA79^2</f>
        <v>3.5768163698720926E-6</v>
      </c>
      <c r="DD79" s="117"/>
      <c r="DE79" s="97"/>
      <c r="DF79" s="91">
        <f t="shared" ref="DF79:DF81" si="232">$DF$2*G79^2 + $DH$2*G79 +$DJ$2</f>
        <v>1.6509906407747457</v>
      </c>
      <c r="DG79" s="85">
        <f>DF79-B79</f>
        <v>9.9064077474575463E-4</v>
      </c>
      <c r="DH79" s="85">
        <f t="shared" ref="DH79:DH86" si="233">ABS(DG79)</f>
        <v>9.9064077474575463E-4</v>
      </c>
      <c r="DI79" s="85">
        <f t="shared" ref="DI79:DI85" si="234">DG79^2</f>
        <v>9.8136914458886887E-7</v>
      </c>
      <c r="DK79" s="117"/>
      <c r="DL79" s="99">
        <f>'Eq. 3 coef.'!$B$15+'Eq. 3 coef.'!$B$16*'Data and calc.'!G79^2+'Eq. 3 coef.'!$B$17*'Data and calc.'!G79+'Eq. 3 coef.'!$B$18*'Data and calc.'!BF79+'Eq. 3 coef.'!$B$19*'Data and calc.'!BG79+'Eq. 3 coef.'!$B$20*'Data and calc.'!BH79+'Eq. 3 coef.'!$B$21*'Data and calc.'!BI79+'Eq. 3 coef.'!$B$22*'Data and calc.'!BJ79+'Eq. 3 coef.'!$B$23*'Data and calc.'!BK79+'Eq. 3 coef.'!$B$24*'Data and calc.'!BL79+'Eq. 3 coef.'!$B$25*'Data and calc.'!BM79+'Eq. 3 coef.'!$B$26*'Data and calc.'!BN79+'Eq. 3 coef.'!$B$27*'Data and calc.'!BO79+'Eq. 3 coef.'!$B$28*'Data and calc.'!BP79</f>
        <v>1.6737653547556874</v>
      </c>
      <c r="DM79" s="85">
        <f>DL79-B79</f>
        <v>2.3765354755687529E-2</v>
      </c>
      <c r="DN79" s="85">
        <f t="shared" ref="DN79:DN86" si="235">ABS(DM79)</f>
        <v>2.3765354755687529E-2</v>
      </c>
      <c r="DO79" s="85">
        <f t="shared" si="207"/>
        <v>5.6479208666367986E-4</v>
      </c>
      <c r="DP79" s="117"/>
      <c r="DQ79" s="99">
        <f>'Eq. 4 coef.'!$B$15+'Eq. 4 coef.'!$B$16*'Data and calc.'!G79^2+'Eq. 4 coef.'!$B$17*'Data and calc.'!G79+'Eq. 4 coef.'!$B$18*'Data and calc.'!O79+'Eq. 4 coef.'!$B$19*'Data and calc.'!P79+'Eq. 4 coef.'!$B$20*'Data and calc.'!Q79+'Eq. 4 coef.'!$B$21*'Data and calc.'!R79+'Eq. 4 coef.'!$B$22*'Data and calc.'!S79+'Eq. 4 coef.'!$B$23*'Data and calc.'!T79+'Eq. 4 coef.'!$B$24*'Data and calc.'!U79+'Eq. 4 coef.'!$B$25*'Data and calc.'!V79+'Eq. 4 coef.'!$B$26*'Data and calc.'!W79+'Eq. 4 coef.'!$B$27*'Data and calc.'!X79</f>
        <v>1.677113062176943</v>
      </c>
      <c r="DR79" s="85">
        <f>DQ79-B79</f>
        <v>2.7113062176943092E-2</v>
      </c>
      <c r="DS79" s="85">
        <f t="shared" ref="DS79:DS86" si="236">ABS(DR79)</f>
        <v>2.7113062176943092E-2</v>
      </c>
      <c r="DT79" s="85">
        <f t="shared" ref="DT79:DT85" si="237">DR79^2</f>
        <v>7.3511814061078212E-4</v>
      </c>
    </row>
    <row r="80" spans="1:125" ht="15" x14ac:dyDescent="0.2">
      <c r="A80" s="66" t="s">
        <v>626</v>
      </c>
      <c r="B80" s="73">
        <v>1.5199999999999998</v>
      </c>
      <c r="C80" s="73">
        <v>0.02</v>
      </c>
      <c r="D80" s="126">
        <f>C80*100/B80</f>
        <v>1.3157894736842106</v>
      </c>
      <c r="E80" s="72">
        <f>B80/(100-B80)</f>
        <v>1.5434606011372864E-2</v>
      </c>
      <c r="F80" s="64">
        <f t="shared" si="211"/>
        <v>4.6790591249681484</v>
      </c>
      <c r="G80" s="73">
        <v>2.1631132945290101</v>
      </c>
      <c r="H80" s="73">
        <v>6.9026956409463961E-3</v>
      </c>
      <c r="I80" s="126">
        <f t="shared" si="212"/>
        <v>0.31910929762231283</v>
      </c>
      <c r="J80" s="70">
        <v>1250</v>
      </c>
      <c r="K80" s="70">
        <v>300</v>
      </c>
      <c r="L80" s="73">
        <v>0.12892251484044892</v>
      </c>
      <c r="M80" s="70">
        <v>2.2999999999999998</v>
      </c>
      <c r="N80" s="64">
        <f>M80+2*LOG(L80)</f>
        <v>0.52065753706683915</v>
      </c>
      <c r="O80" s="76">
        <v>61.377858153347262</v>
      </c>
      <c r="P80" s="73">
        <v>0.76707005962843944</v>
      </c>
      <c r="Q80" s="73">
        <v>18.289830097736463</v>
      </c>
      <c r="R80" s="73">
        <v>3.2239644380329446</v>
      </c>
      <c r="S80" s="73">
        <v>0.21145365112316747</v>
      </c>
      <c r="T80" s="73">
        <v>0.59476927914589295</v>
      </c>
      <c r="U80" s="73">
        <v>1.6335084325215721</v>
      </c>
      <c r="V80" s="73">
        <v>8.3165697945662398</v>
      </c>
      <c r="W80" s="73">
        <v>5.5024313444188371</v>
      </c>
      <c r="X80" s="73">
        <v>8.2544749479169136E-2</v>
      </c>
      <c r="Y80" s="73">
        <f t="shared" si="213"/>
        <v>99.999999999999986</v>
      </c>
      <c r="Z80" s="73">
        <v>13.819001138985076</v>
      </c>
      <c r="AA80" s="73">
        <v>0.56260946676369394</v>
      </c>
      <c r="AB80" s="59">
        <f>(R80-AC80)*1.11</f>
        <v>1.2037206376157765</v>
      </c>
      <c r="AC80" s="60">
        <f>R80*1.11/(AA80+1.11)</f>
        <v>2.1395314311718847</v>
      </c>
      <c r="AD80" s="57">
        <f>100-R80+AB80+AC80</f>
        <v>100.11928763075471</v>
      </c>
      <c r="AE80" s="57"/>
      <c r="AF80" s="57">
        <f t="shared" si="214"/>
        <v>60.444914709416388</v>
      </c>
      <c r="AG80" s="57">
        <f t="shared" si="214"/>
        <v>0.75541059472208716</v>
      </c>
      <c r="AH80" s="57">
        <f t="shared" si="214"/>
        <v>18.011824680250871</v>
      </c>
      <c r="AI80" s="57">
        <f t="shared" si="214"/>
        <v>3.1749601785748438</v>
      </c>
      <c r="AJ80" s="57">
        <f t="shared" si="214"/>
        <v>0.20823955562609534</v>
      </c>
      <c r="AK80" s="57">
        <f t="shared" si="214"/>
        <v>0.58572878610287538</v>
      </c>
      <c r="AL80" s="57">
        <f t="shared" si="214"/>
        <v>1.6086791043472441</v>
      </c>
      <c r="AM80" s="57">
        <f t="shared" si="214"/>
        <v>8.1901579336888339</v>
      </c>
      <c r="AN80" s="57">
        <f t="shared" si="214"/>
        <v>5.4187943879836711</v>
      </c>
      <c r="AO80" s="57">
        <f t="shared" si="214"/>
        <v>8.1290069287085764E-2</v>
      </c>
      <c r="AP80" s="57">
        <f t="shared" si="215"/>
        <v>98.48</v>
      </c>
      <c r="AQ80" s="57"/>
      <c r="AR80" s="84">
        <f t="shared" si="216"/>
        <v>60.372897310596606</v>
      </c>
      <c r="AS80" s="85">
        <f t="shared" si="216"/>
        <v>0.75451055695490143</v>
      </c>
      <c r="AT80" s="85">
        <f t="shared" si="216"/>
        <v>17.990364400793023</v>
      </c>
      <c r="AU80" s="85">
        <f t="shared" si="216"/>
        <v>3.1711773562395558</v>
      </c>
      <c r="AV80" s="85">
        <f t="shared" si="216"/>
        <v>0.20799144755613319</v>
      </c>
      <c r="AW80" s="85">
        <f t="shared" si="216"/>
        <v>0.58503091658330064</v>
      </c>
      <c r="AX80" s="85">
        <f t="shared" si="216"/>
        <v>1.6067624355060723</v>
      </c>
      <c r="AY80" s="85">
        <f t="shared" si="216"/>
        <v>8.1803997286662433</v>
      </c>
      <c r="AZ80" s="85">
        <f t="shared" si="216"/>
        <v>5.412338138050357</v>
      </c>
      <c r="BA80" s="85">
        <f t="shared" si="216"/>
        <v>8.1193215823596246E-2</v>
      </c>
      <c r="BB80" s="85">
        <f t="shared" si="217"/>
        <v>98.362665506769801</v>
      </c>
      <c r="BC80" s="85">
        <f t="shared" si="218"/>
        <v>1.1840117044139629</v>
      </c>
      <c r="BD80" s="85">
        <f t="shared" si="218"/>
        <v>2.1045001450558054</v>
      </c>
      <c r="BE80" s="85">
        <f>BB80+BC80+BD80+B80-AU80</f>
        <v>100.00000000000001</v>
      </c>
      <c r="BF80" s="84">
        <f t="shared" si="219"/>
        <v>61.304729194350735</v>
      </c>
      <c r="BG80" s="85">
        <f t="shared" si="219"/>
        <v>0.76615613013292183</v>
      </c>
      <c r="BH80" s="85">
        <f t="shared" si="219"/>
        <v>18.268038587320291</v>
      </c>
      <c r="BI80" s="85">
        <f t="shared" si="220"/>
        <v>1.2022864585844464</v>
      </c>
      <c r="BJ80" s="85">
        <f t="shared" si="220"/>
        <v>2.1369822756456189</v>
      </c>
      <c r="BK80" s="85">
        <f t="shared" si="221"/>
        <v>0.21120171360289722</v>
      </c>
      <c r="BL80" s="85">
        <f t="shared" si="221"/>
        <v>0.59406063828523625</v>
      </c>
      <c r="BM80" s="85">
        <f t="shared" si="221"/>
        <v>1.6315621806519824</v>
      </c>
      <c r="BN80" s="85">
        <f t="shared" si="221"/>
        <v>8.3066609754937488</v>
      </c>
      <c r="BO80" s="85">
        <f t="shared" si="221"/>
        <v>5.4958754448114906</v>
      </c>
      <c r="BP80" s="85">
        <f t="shared" si="221"/>
        <v>8.2446401120629814E-2</v>
      </c>
      <c r="BQ80" s="85">
        <f t="shared" si="222"/>
        <v>100.00000000000003</v>
      </c>
      <c r="BR80" s="85"/>
      <c r="BS80" s="82">
        <f>AR80/Weights!$B$5*2+AS80/Weights!$B$7*2+AT80/Weights!$B$8*3+'Data and calc.'!BC80/Weights!$B$20*3+'Data and calc.'!BD80/Weights!$B$10+'Data and calc.'!AV80/Weights!$B$11+'Data and calc.'!AW80/Weights!$B$13+'Data and calc.'!AX80/Weights!$B$14+'Data and calc.'!AY80/Weights!$B$15+AZ80/Weights!$B$16+B80/Weights!$B$19+'Data and calc.'!BA80/Weights!$B$6*5</f>
        <v>2.9321970803259134</v>
      </c>
      <c r="BT80" s="84">
        <f>AR80/Weights!$B$5*8/'Data and calc.'!$BS80</f>
        <v>2.7414936167145041</v>
      </c>
      <c r="BU80" s="85">
        <f>AS80/Weights!$B$7*8/'Data and calc.'!$BS80</f>
        <v>2.577541430654209E-2</v>
      </c>
      <c r="BV80" s="85">
        <f>AT80/Weights!$B$8*8/'Data and calc.'!$BS80*2</f>
        <v>0.96280121824399567</v>
      </c>
      <c r="BW80" s="85">
        <f>BC80/Weights!$B$20*8/'Data and calc.'!$BS80*2</f>
        <v>4.0458824383361833E-2</v>
      </c>
      <c r="BX80" s="85">
        <f>BD80/Weights!$B$10*8/'Data and calc.'!$BS80</f>
        <v>7.9919965151056191E-2</v>
      </c>
      <c r="BY80" s="85">
        <f>AV80/Weights!$B$11*8/'Data and calc.'!$BS80</f>
        <v>7.9996174738078546E-3</v>
      </c>
      <c r="BZ80" s="85">
        <f>AW80/Weights!$B$13*8/'Data and calc.'!$BS80</f>
        <v>3.9602946338177979E-2</v>
      </c>
      <c r="CA80" s="85">
        <f>AX80/Weights!$B$14*8/'Data and calc.'!$BS80</f>
        <v>7.8174250853800795E-2</v>
      </c>
      <c r="CB80" s="85">
        <f>AY80/Weights!$B$15*8/'Data and calc.'!$BS80*2</f>
        <v>0.72021144720695396</v>
      </c>
      <c r="CC80" s="85">
        <f>AZ80/Weights!$B$16*8/'Data and calc.'!$BS80*2</f>
        <v>0.31353146402029647</v>
      </c>
      <c r="CD80" s="85">
        <f>BA80/Weights!$B$6*8/'Data and calc.'!$BS80*2</f>
        <v>3.121278987110533E-3</v>
      </c>
      <c r="CE80" s="85">
        <f>B80/Weights!$B$19*8/'Data and calc.'!$BS80*2</f>
        <v>0.46040088223725295</v>
      </c>
      <c r="CF80" s="85">
        <f t="shared" si="223"/>
        <v>15.082116294593614</v>
      </c>
      <c r="CG80" s="85">
        <f t="shared" si="224"/>
        <v>0.24343631556147413</v>
      </c>
      <c r="CH80" s="85">
        <f t="shared" ref="CH80:CH86" si="238">CE80/SUM(BT80:CD80)</f>
        <v>9.1839739207899562E-2</v>
      </c>
      <c r="CI80" s="85">
        <f>AR80/Weights!$B$5*2+AS80/Weights!$B$7*2+AT80/Weights!$B$8*3+'Data and calc.'!BC80/Weights!$B$20*3+'Data and calc.'!BD80/Weights!$B$10+'Data and calc.'!AV80/Weights!$B$11+'Data and calc.'!AW80/Weights!$B$13+'Data and calc.'!AX80/Weights!$B$14+'Data and calc.'!AY80/Weights!$B$15+AZ80/Weights!$B$16+'Data and calc.'!BA80/Weights!$B$6*5</f>
        <v>2.8478229476586918</v>
      </c>
      <c r="CJ80" s="84">
        <f>AR80/Weights!$B$5*8/'Data and calc.'!$CI80</f>
        <v>2.8227174674855573</v>
      </c>
      <c r="CK80" s="85">
        <f>AS80/Weights!$B$7*8/'Data and calc.'!$CI80</f>
        <v>2.6539077731629928E-2</v>
      </c>
      <c r="CL80" s="85">
        <f>AT80/Weights!$B$8*8/'Data and calc.'!$CI80*2</f>
        <v>0.99132669865950684</v>
      </c>
      <c r="CM80" s="85">
        <f>BC80/Weights!$B$20*8/'Data and calc.'!$CI80*2</f>
        <v>4.1657521872223671E-2</v>
      </c>
      <c r="CN80" s="85">
        <f>BD80/Weights!$B$10*8/'Data and calc.'!$CI80</f>
        <v>8.2287801166971E-2</v>
      </c>
      <c r="CO80" s="85">
        <f>AV80/Weights!$B$11*8/'Data and calc.'!$CI80</f>
        <v>8.2366268660444761E-3</v>
      </c>
      <c r="CP80" s="85">
        <f>AW80/Weights!$B$13*8/'Data and calc.'!$CI80</f>
        <v>4.0776286222631623E-2</v>
      </c>
      <c r="CQ80" s="85">
        <f>AX80/Weights!$B$14*8/'Data and calc.'!$CI80</f>
        <v>8.0490365561044788E-2</v>
      </c>
      <c r="CR80" s="85">
        <f>AY80/Weights!$B$15*8/'Data and calc.'!$CI80*2</f>
        <v>0.74154957717920189</v>
      </c>
      <c r="CS80" s="85">
        <f>AZ80/Weights!$B$16*8/'Data and calc.'!$CI80*2</f>
        <v>0.32282064590653192</v>
      </c>
      <c r="CT80" s="85">
        <f>BA80/Weights!$B$6*8/'Data and calc.'!$CI80*2</f>
        <v>3.2137549633879173E-3</v>
      </c>
      <c r="CU80" s="85">
        <f t="shared" si="225"/>
        <v>7.9999999999999991</v>
      </c>
      <c r="CV80" s="85">
        <f t="shared" si="226"/>
        <v>15.528963062995672</v>
      </c>
      <c r="CW80" s="85">
        <f t="shared" si="227"/>
        <v>0.12133120159884288</v>
      </c>
      <c r="CX80" s="113"/>
      <c r="CY80" s="90">
        <f t="shared" si="228"/>
        <v>1.4954405465894778E-2</v>
      </c>
      <c r="CZ80" s="91">
        <f t="shared" si="229"/>
        <v>1.4734066264809456</v>
      </c>
      <c r="DA80" s="85">
        <f>CZ80-B80</f>
        <v>-4.6593373519054238E-2</v>
      </c>
      <c r="DB80" s="85">
        <f t="shared" si="230"/>
        <v>4.6593373519054238E-2</v>
      </c>
      <c r="DC80" s="85">
        <f t="shared" si="231"/>
        <v>2.1709424558861048E-3</v>
      </c>
      <c r="DD80" s="117"/>
      <c r="DE80" s="97"/>
      <c r="DF80" s="91">
        <f t="shared" si="232"/>
        <v>1.4744028408934775</v>
      </c>
      <c r="DG80" s="85">
        <f>DF80-B80</f>
        <v>-4.5597159106522289E-2</v>
      </c>
      <c r="DH80" s="85">
        <f t="shared" si="233"/>
        <v>4.5597159106522289E-2</v>
      </c>
      <c r="DI80" s="85">
        <f t="shared" si="234"/>
        <v>2.0791009185855084E-3</v>
      </c>
      <c r="DK80" s="117"/>
      <c r="DL80" s="99">
        <f>'Eq. 3 coef.'!$B$15+'Eq. 3 coef.'!$B$16*'Data and calc.'!G80^2+'Eq. 3 coef.'!$B$17*'Data and calc.'!G80+'Eq. 3 coef.'!$B$18*'Data and calc.'!BF80+'Eq. 3 coef.'!$B$19*'Data and calc.'!BG80+'Eq. 3 coef.'!$B$20*'Data and calc.'!BH80+'Eq. 3 coef.'!$B$21*'Data and calc.'!BI80+'Eq. 3 coef.'!$B$22*'Data and calc.'!BJ80+'Eq. 3 coef.'!$B$23*'Data and calc.'!BK80+'Eq. 3 coef.'!$B$24*'Data and calc.'!BL80+'Eq. 3 coef.'!$B$25*'Data and calc.'!BM80+'Eq. 3 coef.'!$B$26*'Data and calc.'!BN80+'Eq. 3 coef.'!$B$27*'Data and calc.'!BO80+'Eq. 3 coef.'!$B$28*'Data and calc.'!BP80</f>
        <v>1.492758065004864</v>
      </c>
      <c r="DM80" s="85">
        <f>DL80-B80</f>
        <v>-2.724193499513583E-2</v>
      </c>
      <c r="DN80" s="85">
        <f t="shared" si="235"/>
        <v>2.724193499513583E-2</v>
      </c>
      <c r="DO80" s="85">
        <f t="shared" si="207"/>
        <v>7.4212302227920617E-4</v>
      </c>
      <c r="DP80" s="117"/>
      <c r="DQ80" s="99">
        <f>'Eq. 4 coef.'!$B$15+'Eq. 4 coef.'!$B$16*'Data and calc.'!G80^2+'Eq. 4 coef.'!$B$17*'Data and calc.'!G80+'Eq. 4 coef.'!$B$18*'Data and calc.'!O80+'Eq. 4 coef.'!$B$19*'Data and calc.'!P80+'Eq. 4 coef.'!$B$20*'Data and calc.'!Q80+'Eq. 4 coef.'!$B$21*'Data and calc.'!R80+'Eq. 4 coef.'!$B$22*'Data and calc.'!S80+'Eq. 4 coef.'!$B$23*'Data and calc.'!T80+'Eq. 4 coef.'!$B$24*'Data and calc.'!U80+'Eq. 4 coef.'!$B$25*'Data and calc.'!V80+'Eq. 4 coef.'!$B$26*'Data and calc.'!W80+'Eq. 4 coef.'!$B$27*'Data and calc.'!X80</f>
        <v>1.5024507329786161</v>
      </c>
      <c r="DR80" s="85">
        <f>DQ80-B80</f>
        <v>-1.7549267021383708E-2</v>
      </c>
      <c r="DS80" s="85">
        <f t="shared" si="236"/>
        <v>1.7549267021383708E-2</v>
      </c>
      <c r="DT80" s="85">
        <f t="shared" si="237"/>
        <v>3.0797677298782577E-4</v>
      </c>
    </row>
    <row r="81" spans="1:125" ht="15" x14ac:dyDescent="0.2">
      <c r="A81" s="66" t="s">
        <v>88</v>
      </c>
      <c r="B81" s="73">
        <v>2.9600000000000004</v>
      </c>
      <c r="C81" s="73">
        <v>0.03</v>
      </c>
      <c r="D81" s="126">
        <f>C81*100/B81</f>
        <v>1.0135135135135134</v>
      </c>
      <c r="E81" s="72">
        <f>B81/(100-B81)</f>
        <v>3.0502885408079144E-2</v>
      </c>
      <c r="F81" s="64">
        <f t="shared" si="211"/>
        <v>16.019730472959147</v>
      </c>
      <c r="G81" s="73">
        <v>4.0024655492532535</v>
      </c>
      <c r="H81" s="73">
        <v>0.18717300643815679</v>
      </c>
      <c r="I81" s="126">
        <f>H81*100/G81</f>
        <v>4.6764426610262255</v>
      </c>
      <c r="J81" s="70">
        <v>1250</v>
      </c>
      <c r="K81" s="70">
        <v>300</v>
      </c>
      <c r="L81" s="73">
        <v>0.35714078743791383</v>
      </c>
      <c r="M81" s="70">
        <v>2.2999999999999998</v>
      </c>
      <c r="N81" s="64">
        <f>M81+2*LOG(L81)</f>
        <v>1.4056789036769342</v>
      </c>
      <c r="O81" s="76">
        <v>61.377858153347262</v>
      </c>
      <c r="P81" s="73">
        <v>0.76707005962843944</v>
      </c>
      <c r="Q81" s="73">
        <v>18.289830097736463</v>
      </c>
      <c r="R81" s="73">
        <v>3.2239644380329446</v>
      </c>
      <c r="S81" s="73">
        <v>0.21145365112316747</v>
      </c>
      <c r="T81" s="73">
        <v>0.59476927914589295</v>
      </c>
      <c r="U81" s="73">
        <v>1.6335084325215721</v>
      </c>
      <c r="V81" s="73">
        <v>8.3165697945662398</v>
      </c>
      <c r="W81" s="73">
        <v>5.5024313444188371</v>
      </c>
      <c r="X81" s="73">
        <v>8.2544749479169136E-2</v>
      </c>
      <c r="Y81" s="73">
        <f>SUM(O81:X81)</f>
        <v>99.999999999999986</v>
      </c>
      <c r="Z81" s="73">
        <v>13.819001138985076</v>
      </c>
      <c r="AA81" s="73">
        <v>0.93648806219826219</v>
      </c>
      <c r="AB81" s="59">
        <f>(R81-AC81)*1.11</f>
        <v>1.6375940490844469</v>
      </c>
      <c r="AC81" s="60">
        <f>R81*1.11/(AA81+1.11)</f>
        <v>1.7486544839028124</v>
      </c>
      <c r="AD81" s="57">
        <f>100-R81+AB81+AC81</f>
        <v>100.1622840949543</v>
      </c>
      <c r="AE81" s="57"/>
      <c r="AF81" s="57">
        <f t="shared" si="214"/>
        <v>59.561073552008182</v>
      </c>
      <c r="AG81" s="57">
        <f t="shared" si="214"/>
        <v>0.74436478586343768</v>
      </c>
      <c r="AH81" s="57">
        <f t="shared" si="214"/>
        <v>17.748451126843467</v>
      </c>
      <c r="AI81" s="57">
        <f t="shared" si="214"/>
        <v>3.1285350906671696</v>
      </c>
      <c r="AJ81" s="57">
        <f t="shared" si="214"/>
        <v>0.2051946230499217</v>
      </c>
      <c r="AK81" s="57">
        <f t="shared" si="214"/>
        <v>0.57716410848317456</v>
      </c>
      <c r="AL81" s="57">
        <f t="shared" si="214"/>
        <v>1.5851565829189338</v>
      </c>
      <c r="AM81" s="57">
        <f t="shared" si="214"/>
        <v>8.0703993286470794</v>
      </c>
      <c r="AN81" s="57">
        <f t="shared" si="214"/>
        <v>5.3395593766240408</v>
      </c>
      <c r="AO81" s="57">
        <f t="shared" si="214"/>
        <v>8.0101424894585729E-2</v>
      </c>
      <c r="AP81" s="57">
        <f>SUM(AF81:AO81)</f>
        <v>97.039999999999978</v>
      </c>
      <c r="AQ81" s="57"/>
      <c r="AR81" s="84">
        <f t="shared" si="216"/>
        <v>59.46457200950411</v>
      </c>
      <c r="AS81" s="85">
        <f t="shared" si="216"/>
        <v>0.74315875739991755</v>
      </c>
      <c r="AT81" s="85">
        <f t="shared" si="216"/>
        <v>17.719694880378182</v>
      </c>
      <c r="AU81" s="85">
        <f t="shared" si="216"/>
        <v>3.1234662018103583</v>
      </c>
      <c r="AV81" s="85">
        <f t="shared" si="216"/>
        <v>0.20486216434061774</v>
      </c>
      <c r="AW81" s="85">
        <f t="shared" si="216"/>
        <v>0.57622898049731008</v>
      </c>
      <c r="AX81" s="85">
        <f t="shared" si="216"/>
        <v>1.58258829382944</v>
      </c>
      <c r="AY81" s="85">
        <f t="shared" si="216"/>
        <v>8.0573235740074622</v>
      </c>
      <c r="AZ81" s="85">
        <f t="shared" si="216"/>
        <v>5.3309081605628261</v>
      </c>
      <c r="BA81" s="85">
        <f t="shared" si="216"/>
        <v>7.9971643636490175E-2</v>
      </c>
      <c r="BB81" s="85">
        <f>SUM(AR81:BA81)</f>
        <v>96.882774665966707</v>
      </c>
      <c r="BC81" s="85">
        <f t="shared" si="218"/>
        <v>1.5865465525177653</v>
      </c>
      <c r="BD81" s="85">
        <f t="shared" si="218"/>
        <v>1.6941449833258853</v>
      </c>
      <c r="BE81" s="85">
        <f>BB81+BC81+BD81+B81-AU81</f>
        <v>99.999999999999986</v>
      </c>
      <c r="BF81" s="84">
        <f t="shared" si="219"/>
        <v>61.278413035350482</v>
      </c>
      <c r="BG81" s="85">
        <f t="shared" si="219"/>
        <v>0.76582724381689771</v>
      </c>
      <c r="BH81" s="85">
        <f t="shared" si="219"/>
        <v>18.260196702780483</v>
      </c>
      <c r="BI81" s="85">
        <f t="shared" si="220"/>
        <v>1.6349408002037977</v>
      </c>
      <c r="BJ81" s="85">
        <f t="shared" si="220"/>
        <v>1.7458212936169468</v>
      </c>
      <c r="BK81" s="85">
        <f t="shared" si="221"/>
        <v>0.21111105146395068</v>
      </c>
      <c r="BL81" s="85">
        <f t="shared" si="221"/>
        <v>0.5938056270582337</v>
      </c>
      <c r="BM81" s="85">
        <f t="shared" si="221"/>
        <v>1.6308618032042868</v>
      </c>
      <c r="BN81" s="85">
        <f t="shared" si="221"/>
        <v>8.3030951916812263</v>
      </c>
      <c r="BO81" s="85">
        <f t="shared" si="221"/>
        <v>5.4935162413054677</v>
      </c>
      <c r="BP81" s="85">
        <f t="shared" si="221"/>
        <v>8.2411009518229772E-2</v>
      </c>
      <c r="BQ81" s="85">
        <f>SUM(BF81:BP81)</f>
        <v>99.999999999999986</v>
      </c>
      <c r="BR81" s="85"/>
      <c r="BS81" s="82">
        <f>AR81/Weights!$B$5*2+AS81/Weights!$B$7*2+AT81/Weights!$B$8*3+'Data and calc.'!BC81/Weights!$B$20*3+'Data and calc.'!BD81/Weights!$B$10+'Data and calc.'!AV81/Weights!$B$11+'Data and calc.'!AW81/Weights!$B$13+'Data and calc.'!AX81/Weights!$B$14+'Data and calc.'!AY81/Weights!$B$15+AZ81/Weights!$B$16+B81/Weights!$B$19+'Data and calc.'!BA81/Weights!$B$6*5</f>
        <v>2.9719102095076271</v>
      </c>
      <c r="BT81" s="84">
        <f>AR81/Weights!$B$5*8/'Data and calc.'!$BS81</f>
        <v>2.6641642191291726</v>
      </c>
      <c r="BU81" s="85">
        <f>AS81/Weights!$B$7*8/'Data and calc.'!$BS81</f>
        <v>2.5048366375923184E-2</v>
      </c>
      <c r="BV81" s="85">
        <f>AT81/Weights!$B$8*8/'Data and calc.'!$BS81*2</f>
        <v>0.93564345367824875</v>
      </c>
      <c r="BW81" s="85">
        <f>BC81/Weights!$B$20*8/'Data and calc.'!$BS81*2</f>
        <v>5.3489379073555929E-2</v>
      </c>
      <c r="BX81" s="85">
        <f>BD81/Weights!$B$10*8/'Data and calc.'!$BS81</f>
        <v>6.3476704709490836E-2</v>
      </c>
      <c r="BY81" s="85">
        <f>AV81/Weights!$B$11*8/'Data and calc.'!$BS81</f>
        <v>7.7739720094554664E-3</v>
      </c>
      <c r="BZ81" s="85">
        <f>AW81/Weights!$B$13*8/'Data and calc.'!$BS81</f>
        <v>3.8485864772033147E-2</v>
      </c>
      <c r="CA81" s="85">
        <f>AX81/Weights!$B$14*8/'Data and calc.'!$BS81</f>
        <v>7.5969187275190808E-2</v>
      </c>
      <c r="CB81" s="85">
        <f>AY81/Weights!$B$15*8/'Data and calc.'!$BS81*2</f>
        <v>0.69989642002359032</v>
      </c>
      <c r="CC81" s="85">
        <f>AZ81/Weights!$B$16*8/'Data and calc.'!$BS81*2</f>
        <v>0.30468767204904518</v>
      </c>
      <c r="CD81" s="85">
        <f>BA81/Weights!$B$6*8/'Data and calc.'!$BS81*2</f>
        <v>3.0332369715109228E-3</v>
      </c>
      <c r="CE81" s="85">
        <f>B81/Weights!$B$19*8/'Data and calc.'!$BS81*2</f>
        <v>0.88458942526167195</v>
      </c>
      <c r="CF81" s="85">
        <f>SUM(BT81:BW81)*4</f>
        <v>14.713381673027603</v>
      </c>
      <c r="CG81" s="85">
        <f>(16-CF81)/SUM(BT81:BW81)</f>
        <v>0.34978181238403133</v>
      </c>
      <c r="CH81" s="85">
        <f t="shared" si="238"/>
        <v>0.18157832980781566</v>
      </c>
      <c r="CI81" s="85">
        <f>AR81/Weights!$B$5*2+AS81/Weights!$B$7*2+AT81/Weights!$B$8*3+'Data and calc.'!BC81/Weights!$B$20*3+'Data and calc.'!BD81/Weights!$B$10+'Data and calc.'!AV81/Weights!$B$11+'Data and calc.'!AW81/Weights!$B$13+'Data and calc.'!AX81/Weights!$B$14+'Data and calc.'!AY81/Weights!$B$15+AZ81/Weights!$B$16+'Data and calc.'!BA81/Weights!$B$6*5</f>
        <v>2.807602687997774</v>
      </c>
      <c r="CJ81" s="84">
        <f>AR81/Weights!$B$5*8/'Data and calc.'!$CI81</f>
        <v>2.8200773836277153</v>
      </c>
      <c r="CK81" s="85">
        <f>AS81/Weights!$B$7*8/'Data and calc.'!$CI81</f>
        <v>2.6514255767856244E-2</v>
      </c>
      <c r="CL81" s="85">
        <f>AT81/Weights!$B$8*8/'Data and calc.'!$CI81*2</f>
        <v>0.99039951212910671</v>
      </c>
      <c r="CM81" s="85">
        <f>BC81/Weights!$B$20*8/'Data and calc.'!$CI81*2</f>
        <v>5.6619703510217792E-2</v>
      </c>
      <c r="CN81" s="85">
        <f>BD81/Weights!$B$10*8/'Data and calc.'!$CI81</f>
        <v>6.7191510963600501E-2</v>
      </c>
      <c r="CO81" s="85">
        <f>AV81/Weights!$B$11*8/'Data and calc.'!$CI81</f>
        <v>8.2289231599943329E-3</v>
      </c>
      <c r="CP81" s="85">
        <f>AW81/Weights!$B$13*8/'Data and calc.'!$CI81</f>
        <v>4.0738148216869746E-2</v>
      </c>
      <c r="CQ81" s="85">
        <f>AX81/Weights!$B$14*8/'Data and calc.'!$CI81</f>
        <v>8.041508303019386E-2</v>
      </c>
      <c r="CR81" s="85">
        <f>AY81/Weights!$B$15*8/'Data and calc.'!$CI81*2</f>
        <v>0.74085600685519626</v>
      </c>
      <c r="CS81" s="85">
        <f>AZ81/Weights!$B$16*8/'Data and calc.'!$CI81*2</f>
        <v>0.32251871218980216</v>
      </c>
      <c r="CT81" s="85">
        <f>BA81/Weights!$B$6*8/'Data and calc.'!$CI81*2</f>
        <v>3.2107491426851256E-3</v>
      </c>
      <c r="CU81" s="85">
        <f>CJ81*2+CK81*2+CL81*1.5+CM81*1.5+CN81+CO81+CP81+CQ81+CR81*0.5+CS81*0.5+CT81*2.5</f>
        <v>8.0000000000000018</v>
      </c>
      <c r="CV81" s="85">
        <f>SUM(CJ81:CM81)*4</f>
        <v>15.574443420139584</v>
      </c>
      <c r="CW81" s="85">
        <f>(16-CV81)/SUM(CJ81:CM81)</f>
        <v>0.10929612529462757</v>
      </c>
      <c r="CX81" s="113"/>
      <c r="CY81" s="90">
        <f t="shared" si="228"/>
        <v>3.0791228379070508E-2</v>
      </c>
      <c r="CZ81" s="91">
        <f>100*CY81/(1+CY81)</f>
        <v>2.9871449747869914</v>
      </c>
      <c r="DA81" s="85">
        <f>CZ81-B81</f>
        <v>2.7144974786990961E-2</v>
      </c>
      <c r="DB81" s="85">
        <f t="shared" si="230"/>
        <v>2.7144974786990961E-2</v>
      </c>
      <c r="DC81" s="85">
        <f>DA81^2</f>
        <v>7.3684965618637491E-4</v>
      </c>
      <c r="DD81" s="117"/>
      <c r="DE81" s="97"/>
      <c r="DF81" s="91">
        <f t="shared" si="232"/>
        <v>2.9997856966334</v>
      </c>
      <c r="DG81" s="85">
        <f>DF81-B81</f>
        <v>3.9785696633399592E-2</v>
      </c>
      <c r="DH81" s="85">
        <f t="shared" si="233"/>
        <v>3.9785696633399592E-2</v>
      </c>
      <c r="DI81" s="85">
        <f>DG81^2</f>
        <v>1.5829016566049035E-3</v>
      </c>
      <c r="DK81" s="117"/>
      <c r="DL81" s="99">
        <f>'Eq. 3 coef.'!$B$15+'Eq. 3 coef.'!$B$16*'Data and calc.'!G81^2+'Eq. 3 coef.'!$B$17*'Data and calc.'!G81+'Eq. 3 coef.'!$B$18*'Data and calc.'!BF81+'Eq. 3 coef.'!$B$19*'Data and calc.'!BG81+'Eq. 3 coef.'!$B$20*'Data and calc.'!BH81+'Eq. 3 coef.'!$B$21*'Data and calc.'!BI81+'Eq. 3 coef.'!$B$22*'Data and calc.'!BJ81+'Eq. 3 coef.'!$B$23*'Data and calc.'!BK81+'Eq. 3 coef.'!$B$24*'Data and calc.'!BL81+'Eq. 3 coef.'!$B$25*'Data and calc.'!BM81+'Eq. 3 coef.'!$B$26*'Data and calc.'!BN81+'Eq. 3 coef.'!$B$27*'Data and calc.'!BO81+'Eq. 3 coef.'!$B$28*'Data and calc.'!BP81</f>
        <v>3.0444189982654279</v>
      </c>
      <c r="DM81" s="85">
        <f>DL81-B81</f>
        <v>8.4418998265427536E-2</v>
      </c>
      <c r="DN81" s="85">
        <f t="shared" si="235"/>
        <v>8.4418998265427536E-2</v>
      </c>
      <c r="DO81" s="85">
        <f>DM81^2</f>
        <v>7.1265672681382576E-3</v>
      </c>
      <c r="DP81" s="117"/>
      <c r="DQ81" s="99">
        <f>'Eq. 4 coef.'!$B$15+'Eq. 4 coef.'!$B$16*'Data and calc.'!G81^2+'Eq. 4 coef.'!$B$17*'Data and calc.'!G81+'Eq. 4 coef.'!$B$18*'Data and calc.'!O81+'Eq. 4 coef.'!$B$19*'Data and calc.'!P81+'Eq. 4 coef.'!$B$20*'Data and calc.'!Q81+'Eq. 4 coef.'!$B$21*'Data and calc.'!R81+'Eq. 4 coef.'!$B$22*'Data and calc.'!S81+'Eq. 4 coef.'!$B$23*'Data and calc.'!T81+'Eq. 4 coef.'!$B$24*'Data and calc.'!U81+'Eq. 4 coef.'!$B$25*'Data and calc.'!V81+'Eq. 4 coef.'!$B$26*'Data and calc.'!W81+'Eq. 4 coef.'!$B$27*'Data and calc.'!X81</f>
        <v>3.0095578033347579</v>
      </c>
      <c r="DR81" s="85">
        <f>DQ81-B81</f>
        <v>4.9557803334757455E-2</v>
      </c>
      <c r="DS81" s="85">
        <f t="shared" si="236"/>
        <v>4.9557803334757455E-2</v>
      </c>
      <c r="DT81" s="85">
        <f>DR81^2</f>
        <v>2.4559758713664972E-3</v>
      </c>
    </row>
    <row r="82" spans="1:125" ht="15" x14ac:dyDescent="0.2">
      <c r="A82" s="142" t="s">
        <v>89</v>
      </c>
      <c r="B82" s="73"/>
      <c r="C82" s="73"/>
      <c r="D82" s="126"/>
      <c r="E82" s="72"/>
      <c r="F82" s="108"/>
      <c r="G82" s="73"/>
      <c r="H82" s="73"/>
      <c r="I82" s="126"/>
      <c r="L82" s="73"/>
      <c r="N82" s="50"/>
      <c r="O82" s="76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59"/>
      <c r="AC82" s="60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84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4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2"/>
      <c r="BT82" s="84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5"/>
      <c r="CH82" s="85"/>
      <c r="CI82" s="85"/>
      <c r="CJ82" s="84"/>
      <c r="CK82" s="85"/>
      <c r="CL82" s="85"/>
      <c r="CM82" s="85"/>
      <c r="CN82" s="85"/>
      <c r="CO82" s="85"/>
      <c r="CP82" s="85"/>
      <c r="CQ82" s="85"/>
      <c r="CR82" s="85"/>
      <c r="CS82" s="85"/>
      <c r="CT82" s="85"/>
      <c r="CU82" s="85"/>
      <c r="CV82" s="85"/>
      <c r="CW82" s="85"/>
      <c r="CX82" s="113"/>
      <c r="CY82" s="90"/>
      <c r="CZ82" s="91"/>
      <c r="DA82" s="85"/>
      <c r="DB82" s="85"/>
      <c r="DC82" s="85"/>
      <c r="DD82" s="117"/>
      <c r="DE82" s="97"/>
      <c r="DF82" s="91"/>
      <c r="DG82" s="85"/>
      <c r="DH82" s="85"/>
      <c r="DI82" s="85"/>
      <c r="DK82" s="117"/>
      <c r="DL82" s="99"/>
      <c r="DM82" s="85"/>
      <c r="DN82" s="85"/>
      <c r="DO82" s="85"/>
      <c r="DP82" s="117"/>
      <c r="DQ82" s="99"/>
      <c r="DR82" s="85"/>
      <c r="DS82" s="85"/>
      <c r="DT82" s="85"/>
    </row>
    <row r="83" spans="1:125" ht="16" x14ac:dyDescent="0.2">
      <c r="A83" s="66" t="s">
        <v>90</v>
      </c>
      <c r="B83" s="73">
        <v>0.85</v>
      </c>
      <c r="C83" s="73">
        <v>0.05</v>
      </c>
      <c r="D83" s="126">
        <f>C83*100/B83</f>
        <v>5.882352941176471</v>
      </c>
      <c r="E83" s="72">
        <f>B83/(100-B83)</f>
        <v>8.5728693898134128E-3</v>
      </c>
      <c r="F83" s="64">
        <f t="shared" ref="F83:F86" si="239">G83^2</f>
        <v>2.7868589326365463</v>
      </c>
      <c r="G83" s="73">
        <v>1.6693887901374402</v>
      </c>
      <c r="H83" s="73">
        <v>2.896790135253904E-2</v>
      </c>
      <c r="I83" s="126">
        <f t="shared" si="212"/>
        <v>1.7352399587009399</v>
      </c>
      <c r="J83" s="70">
        <v>1200</v>
      </c>
      <c r="K83" s="70">
        <v>300</v>
      </c>
      <c r="L83" s="73">
        <v>5.6687007042490231E-2</v>
      </c>
      <c r="M83" s="70">
        <v>2.2999999999999998</v>
      </c>
      <c r="N83" s="64">
        <f>M83+2*LOG(L83)</f>
        <v>-0.19303294452024744</v>
      </c>
      <c r="O83" s="77">
        <v>52.659214407973458</v>
      </c>
      <c r="P83" s="78">
        <v>0.68493170179367979</v>
      </c>
      <c r="Q83" s="78">
        <v>16.205134516278594</v>
      </c>
      <c r="R83" s="78">
        <v>8.0386687893934727</v>
      </c>
      <c r="S83" s="78">
        <v>0.21001004141929622</v>
      </c>
      <c r="T83" s="78">
        <v>4.5802189985732218</v>
      </c>
      <c r="U83" s="78">
        <v>7.9365080735769071</v>
      </c>
      <c r="V83" s="78">
        <v>5.3890226304472417</v>
      </c>
      <c r="W83" s="78">
        <v>3.0075312267672838</v>
      </c>
      <c r="X83" s="78">
        <v>1.2887596137768444</v>
      </c>
      <c r="Y83" s="73">
        <f t="shared" si="213"/>
        <v>99.999999999999986</v>
      </c>
      <c r="Z83" s="73">
        <v>8.396553857214526</v>
      </c>
      <c r="AA83" s="73">
        <v>0.29227728998281921</v>
      </c>
      <c r="AB83" s="59">
        <f>(R83-AC83)*1.11</f>
        <v>1.8598087437021955</v>
      </c>
      <c r="AC83" s="60">
        <f>R83*1.11/(AA83+1.11)</f>
        <v>6.3631654166887923</v>
      </c>
      <c r="AD83" s="57">
        <f>100-R83+AB83+AC83</f>
        <v>100.18430537099751</v>
      </c>
      <c r="AE83" s="57"/>
      <c r="AF83" s="57">
        <f t="shared" ref="AF83:AO86" si="240">O83*(100-$B83)/100</f>
        <v>52.21161108550568</v>
      </c>
      <c r="AG83" s="57">
        <f t="shared" si="240"/>
        <v>0.67910978232843344</v>
      </c>
      <c r="AH83" s="57">
        <f t="shared" si="240"/>
        <v>16.067390872890229</v>
      </c>
      <c r="AI83" s="57">
        <f t="shared" si="240"/>
        <v>7.9703401046836291</v>
      </c>
      <c r="AJ83" s="57">
        <f t="shared" si="240"/>
        <v>0.20822495606723224</v>
      </c>
      <c r="AK83" s="57">
        <f t="shared" si="240"/>
        <v>4.5412871370853498</v>
      </c>
      <c r="AL83" s="57">
        <f t="shared" si="240"/>
        <v>7.8690477549515041</v>
      </c>
      <c r="AM83" s="57">
        <f t="shared" si="240"/>
        <v>5.3432159380884396</v>
      </c>
      <c r="AN83" s="57">
        <f t="shared" si="240"/>
        <v>2.9819672113397622</v>
      </c>
      <c r="AO83" s="57">
        <f t="shared" si="240"/>
        <v>1.2778051570597413</v>
      </c>
      <c r="AP83" s="57">
        <f t="shared" si="215"/>
        <v>99.15</v>
      </c>
      <c r="AQ83" s="57"/>
      <c r="AR83" s="84">
        <f t="shared" ref="AR83:BA86" si="241">O83*(100-$B83)/$AD83</f>
        <v>52.115559310570909</v>
      </c>
      <c r="AS83" s="85">
        <f t="shared" si="241"/>
        <v>0.6778604491128507</v>
      </c>
      <c r="AT83" s="85">
        <f t="shared" si="241"/>
        <v>16.037832286594462</v>
      </c>
      <c r="AU83" s="85">
        <f t="shared" si="241"/>
        <v>7.9556773640025398</v>
      </c>
      <c r="AV83" s="85">
        <f t="shared" si="241"/>
        <v>0.20784189229654684</v>
      </c>
      <c r="AW83" s="85">
        <f t="shared" si="241"/>
        <v>4.532932698658021</v>
      </c>
      <c r="AX83" s="85">
        <f t="shared" si="241"/>
        <v>7.8545713580697498</v>
      </c>
      <c r="AY83" s="85">
        <f t="shared" si="241"/>
        <v>5.3333862208274141</v>
      </c>
      <c r="AZ83" s="85">
        <f t="shared" si="241"/>
        <v>2.9764813962597141</v>
      </c>
      <c r="BA83" s="85">
        <f t="shared" si="241"/>
        <v>1.2754544260479097</v>
      </c>
      <c r="BB83" s="85">
        <f t="shared" si="217"/>
        <v>98.96759740244012</v>
      </c>
      <c r="BC83" s="85">
        <f t="shared" ref="BC83:BD86" si="242">AB83*(100-$B83)/$AD83</f>
        <v>1.8406080299225684</v>
      </c>
      <c r="BD83" s="85">
        <f t="shared" si="242"/>
        <v>6.2974719316398646</v>
      </c>
      <c r="BE83" s="85">
        <f>BB83+BC83+BD83+B83-AU83</f>
        <v>100</v>
      </c>
      <c r="BF83" s="84">
        <f t="shared" ref="BF83:BH86" si="243">AR83*100/(100-$B83)</f>
        <v>52.562339193717506</v>
      </c>
      <c r="BG83" s="85">
        <f t="shared" si="243"/>
        <v>0.68367165820761544</v>
      </c>
      <c r="BH83" s="85">
        <f t="shared" si="243"/>
        <v>16.175322528083168</v>
      </c>
      <c r="BI83" s="85">
        <f t="shared" ref="BI83:BJ86" si="244">BC83*100/(100-$B83)</f>
        <v>1.8563873221609362</v>
      </c>
      <c r="BJ83" s="85">
        <f t="shared" si="244"/>
        <v>6.3514593359958287</v>
      </c>
      <c r="BK83" s="85">
        <f t="shared" ref="BK83:BP86" si="245">AV83*100/(100-$B83)</f>
        <v>0.20962369369293682</v>
      </c>
      <c r="BL83" s="85">
        <f t="shared" si="245"/>
        <v>4.5717929386364302</v>
      </c>
      <c r="BM83" s="85">
        <f t="shared" si="245"/>
        <v>7.9219075724354511</v>
      </c>
      <c r="BN83" s="85">
        <f t="shared" si="245"/>
        <v>5.3791086443039973</v>
      </c>
      <c r="BO83" s="85">
        <f t="shared" si="245"/>
        <v>3.0019983825110579</v>
      </c>
      <c r="BP83" s="85">
        <f t="shared" si="245"/>
        <v>1.2863887302550778</v>
      </c>
      <c r="BQ83" s="85">
        <f t="shared" si="222"/>
        <v>100.00000000000001</v>
      </c>
      <c r="BR83" s="85"/>
      <c r="BS83" s="82">
        <f>AR83/Weights!$B$5*2+AS83/Weights!$B$7*2+AT83/Weights!$B$8*3+'Data and calc.'!BC83/Weights!$B$20*3+'Data and calc.'!BD83/Weights!$B$10+'Data and calc.'!AV83/Weights!$B$11+'Data and calc.'!AW83/Weights!$B$13+'Data and calc.'!AX83/Weights!$B$14+'Data and calc.'!AY83/Weights!$B$15+AZ83/Weights!$B$16+B83/Weights!$B$19+'Data and calc.'!BA83/Weights!$B$6*5</f>
        <v>2.8111086879325025</v>
      </c>
      <c r="BT83" s="84">
        <f>AR83/Weights!$B$5*8/'Data and calc.'!$BS83</f>
        <v>2.4684716477285971</v>
      </c>
      <c r="BU83" s="85">
        <f>AS83/Weights!$B$7*8/'Data and calc.'!$BS83</f>
        <v>2.4154394140362283E-2</v>
      </c>
      <c r="BV83" s="85">
        <f>AT83/Weights!$B$8*8/'Data and calc.'!$BS83*2</f>
        <v>0.89527788775773265</v>
      </c>
      <c r="BW83" s="85">
        <f>BC83/Weights!$B$20*8/'Data and calc.'!$BS83*2</f>
        <v>6.5604570358777856E-2</v>
      </c>
      <c r="BX83" s="85">
        <f>BD83/Weights!$B$10*8/'Data and calc.'!$BS83</f>
        <v>0.24945262931610893</v>
      </c>
      <c r="BY83" s="85">
        <f>AV83/Weights!$B$11*8/'Data and calc.'!$BS83</f>
        <v>8.338200813370486E-3</v>
      </c>
      <c r="BZ83" s="85">
        <f>AW83/Weights!$B$13*8/'Data and calc.'!$BS83</f>
        <v>0.32006889501022612</v>
      </c>
      <c r="CA83" s="85">
        <f>AX83/Weights!$B$14*8/'Data and calc.'!$BS83</f>
        <v>0.39861172343964801</v>
      </c>
      <c r="CB83" s="85">
        <f>AY83/Weights!$B$15*8/'Data and calc.'!$BS83*2</f>
        <v>0.48978338497881674</v>
      </c>
      <c r="CC83" s="85">
        <f>AZ83/Weights!$B$16*8/'Data and calc.'!$BS83*2</f>
        <v>0.17985184647670691</v>
      </c>
      <c r="CD83" s="85">
        <f>BA83/Weights!$B$6*8/'Data and calc.'!$BS83*2</f>
        <v>5.114383738757261E-2</v>
      </c>
      <c r="CE83" s="85">
        <f>B83/Weights!$B$19*8/'Data and calc.'!$BS83*2</f>
        <v>0.26855114262253377</v>
      </c>
      <c r="CF83" s="85">
        <f t="shared" si="223"/>
        <v>13.814033999941881</v>
      </c>
      <c r="CG83" s="85">
        <f t="shared" si="224"/>
        <v>0.63296963075878232</v>
      </c>
      <c r="CH83" s="85">
        <f t="shared" si="238"/>
        <v>5.213816870774126E-2</v>
      </c>
      <c r="CI83" s="85">
        <f>AR83/Weights!$B$5*2+AS83/Weights!$B$7*2+AT83/Weights!$B$8*3+'Data and calc.'!BC83/Weights!$B$20*3+'Data and calc.'!BD83/Weights!$B$10+'Data and calc.'!AV83/Weights!$B$11+'Data and calc.'!AW83/Weights!$B$13+'Data and calc.'!AX83/Weights!$B$14+'Data and calc.'!AY83/Weights!$B$15+AZ83/Weights!$B$16+'Data and calc.'!BA83/Weights!$B$6*5</f>
        <v>2.7639257847962271</v>
      </c>
      <c r="CJ83" s="84">
        <f>AR83/Weights!$B$5*8/'Data and calc.'!$CI83</f>
        <v>2.5106108611944924</v>
      </c>
      <c r="CK83" s="85">
        <f>AS83/Weights!$B$7*8/'Data and calc.'!$CI83</f>
        <v>2.4566733156593922E-2</v>
      </c>
      <c r="CL83" s="85">
        <f>AT83/Weights!$B$8*8/'Data and calc.'!$CI83*2</f>
        <v>0.91056115263064841</v>
      </c>
      <c r="CM83" s="85">
        <f>BC83/Weights!$B$20*8/'Data and calc.'!$CI83*2</f>
        <v>6.6724504224427356E-2</v>
      </c>
      <c r="CN83" s="85">
        <f>BD83/Weights!$B$10*8/'Data and calc.'!$CI83</f>
        <v>0.25371102847821919</v>
      </c>
      <c r="CO83" s="85">
        <f>AV83/Weights!$B$11*8/'Data and calc.'!$CI83</f>
        <v>8.4805420164057472E-3</v>
      </c>
      <c r="CP83" s="85">
        <f>AW83/Weights!$B$13*8/'Data and calc.'!$CI83</f>
        <v>0.3255327825549908</v>
      </c>
      <c r="CQ83" s="85">
        <f>AX83/Weights!$B$14*8/'Data and calc.'!$CI83</f>
        <v>0.40541641350748331</v>
      </c>
      <c r="CR83" s="85">
        <f>AY83/Weights!$B$15*8/'Data and calc.'!$CI83*2</f>
        <v>0.49814446404191337</v>
      </c>
      <c r="CS83" s="85">
        <f>AZ83/Weights!$B$16*8/'Data and calc.'!$CI83*2</f>
        <v>0.18292209253681099</v>
      </c>
      <c r="CT83" s="85">
        <f>BA83/Weights!$B$6*8/'Data and calc.'!$CI83*2</f>
        <v>5.2016912467500336E-2</v>
      </c>
      <c r="CU83" s="85">
        <f t="shared" si="225"/>
        <v>7.9999999999999982</v>
      </c>
      <c r="CV83" s="85">
        <f t="shared" si="226"/>
        <v>14.049853004824648</v>
      </c>
      <c r="CW83" s="85">
        <f t="shared" si="227"/>
        <v>0.55520780025404726</v>
      </c>
      <c r="CX83" s="113"/>
      <c r="CY83" s="90">
        <f t="shared" ref="CY83:CY86" si="246">$CZ$2*G83+$DB$2</f>
        <v>1.0703437483083359E-2</v>
      </c>
      <c r="CZ83" s="91">
        <f t="shared" si="229"/>
        <v>1.0590087147361174</v>
      </c>
      <c r="DA83" s="85">
        <f>CZ83-B83</f>
        <v>0.20900871473611737</v>
      </c>
      <c r="DB83" s="85">
        <f t="shared" si="230"/>
        <v>0.20900871473611737</v>
      </c>
      <c r="DC83" s="85">
        <f t="shared" si="231"/>
        <v>4.3684642835643689E-2</v>
      </c>
      <c r="DD83" s="117"/>
      <c r="DE83" s="97"/>
      <c r="DF83" s="91">
        <f t="shared" ref="DF83:DF86" si="247">$DF$2*G83^2 + $DH$2*G83 +$DJ$2</f>
        <v>1.0550371191193753</v>
      </c>
      <c r="DG83" s="85">
        <f>DF83-B83</f>
        <v>0.20503711911937528</v>
      </c>
      <c r="DH83" s="85">
        <f t="shared" si="233"/>
        <v>0.20503711911937528</v>
      </c>
      <c r="DI83" s="85">
        <f t="shared" si="234"/>
        <v>4.2040220216772888E-2</v>
      </c>
      <c r="DK83" s="117"/>
      <c r="DL83" s="99">
        <f>'Eq. 3 coef.'!$B$15+'Eq. 3 coef.'!$B$16*'Data and calc.'!G83^2+'Eq. 3 coef.'!$B$17*'Data and calc.'!G83+'Eq. 3 coef.'!$B$18*'Data and calc.'!BF83+'Eq. 3 coef.'!$B$19*'Data and calc.'!BG83+'Eq. 3 coef.'!$B$20*'Data and calc.'!BH83+'Eq. 3 coef.'!$B$21*'Data and calc.'!BI83+'Eq. 3 coef.'!$B$22*'Data and calc.'!BJ83+'Eq. 3 coef.'!$B$23*'Data and calc.'!BK83+'Eq. 3 coef.'!$B$24*'Data and calc.'!BL83+'Eq. 3 coef.'!$B$25*'Data and calc.'!BM83+'Eq. 3 coef.'!$B$26*'Data and calc.'!BN83+'Eq. 3 coef.'!$B$27*'Data and calc.'!BO83+'Eq. 3 coef.'!$B$28*'Data and calc.'!BP83</f>
        <v>0.74788998046642519</v>
      </c>
      <c r="DM83" s="85">
        <f>DL83-B83</f>
        <v>-0.10211001953357479</v>
      </c>
      <c r="DN83" s="85">
        <f t="shared" si="235"/>
        <v>0.10211001953357479</v>
      </c>
      <c r="DO83" s="85">
        <f t="shared" si="207"/>
        <v>1.0426456089147025E-2</v>
      </c>
      <c r="DP83" s="117"/>
      <c r="DQ83" s="99">
        <f>'Eq. 4 coef.'!$B$15+'Eq. 4 coef.'!$B$16*'Data and calc.'!G83^2+'Eq. 4 coef.'!$B$17*'Data and calc.'!G83+'Eq. 4 coef.'!$B$18*'Data and calc.'!O83+'Eq. 4 coef.'!$B$19*'Data and calc.'!P83+'Eq. 4 coef.'!$B$20*'Data and calc.'!Q83+'Eq. 4 coef.'!$B$21*'Data and calc.'!R83+'Eq. 4 coef.'!$B$22*'Data and calc.'!S83+'Eq. 4 coef.'!$B$23*'Data and calc.'!T83+'Eq. 4 coef.'!$B$24*'Data and calc.'!U83+'Eq. 4 coef.'!$B$25*'Data and calc.'!V83+'Eq. 4 coef.'!$B$26*'Data and calc.'!W83+'Eq. 4 coef.'!$B$27*'Data and calc.'!X83</f>
        <v>0.7747319811160196</v>
      </c>
      <c r="DR83" s="85">
        <f>DQ83-B83</f>
        <v>-7.5268018883980381E-2</v>
      </c>
      <c r="DS83" s="85">
        <f t="shared" si="236"/>
        <v>7.5268018883980381E-2</v>
      </c>
      <c r="DT83" s="85">
        <f t="shared" si="237"/>
        <v>5.6652746667192272E-3</v>
      </c>
    </row>
    <row r="84" spans="1:125" ht="16" x14ac:dyDescent="0.2">
      <c r="A84" s="66" t="s">
        <v>93</v>
      </c>
      <c r="B84" s="73">
        <v>2.06</v>
      </c>
      <c r="C84" s="73">
        <v>5.8309518948453008E-2</v>
      </c>
      <c r="D84" s="126">
        <f>C84*100/B84</f>
        <v>2.8305591722550001</v>
      </c>
      <c r="E84" s="72">
        <f>B84/(100-B84)</f>
        <v>2.1033285685113336E-2</v>
      </c>
      <c r="F84" s="64">
        <f t="shared" si="239"/>
        <v>11.032969186401621</v>
      </c>
      <c r="G84" s="73">
        <v>3.3215913635487464</v>
      </c>
      <c r="H84" s="73">
        <v>0.11796477270217441</v>
      </c>
      <c r="I84" s="126">
        <f>H84*100/G84</f>
        <v>3.5514534989681068</v>
      </c>
      <c r="J84" s="70">
        <v>1200</v>
      </c>
      <c r="K84" s="70">
        <v>300</v>
      </c>
      <c r="L84" s="73">
        <v>0.24610595432288579</v>
      </c>
      <c r="M84" s="70">
        <v>2.2999999999999998</v>
      </c>
      <c r="N84" s="64">
        <f>M84+2*LOG(L84)</f>
        <v>1.0822442424262497</v>
      </c>
      <c r="O84" s="77">
        <v>52.659214407973458</v>
      </c>
      <c r="P84" s="78">
        <v>0.68493170179367979</v>
      </c>
      <c r="Q84" s="78">
        <v>16.205134516278594</v>
      </c>
      <c r="R84" s="78">
        <v>8.0386687893934727</v>
      </c>
      <c r="S84" s="78">
        <v>0.21001004141929622</v>
      </c>
      <c r="T84" s="78">
        <v>4.5802189985732218</v>
      </c>
      <c r="U84" s="78">
        <v>7.9365080735769071</v>
      </c>
      <c r="V84" s="78">
        <v>5.3890226304472417</v>
      </c>
      <c r="W84" s="78">
        <v>3.0075312267672838</v>
      </c>
      <c r="X84" s="78">
        <v>1.2887596137768444</v>
      </c>
      <c r="Y84" s="73">
        <f>SUM(O84:X84)</f>
        <v>99.999999999999986</v>
      </c>
      <c r="Z84" s="73">
        <v>8.396553857214526</v>
      </c>
      <c r="AA84" s="73">
        <v>0.60907646326673526</v>
      </c>
      <c r="AB84" s="59">
        <f>(R84-AC84)*1.11</f>
        <v>3.161431214296726</v>
      </c>
      <c r="AC84" s="60">
        <f>R84*1.11/(AA84+1.11)</f>
        <v>5.1905325602973234</v>
      </c>
      <c r="AD84" s="57">
        <f>100-R84+AB84+AC84</f>
        <v>100.31329498520059</v>
      </c>
      <c r="AE84" s="57"/>
      <c r="AF84" s="57">
        <f t="shared" si="240"/>
        <v>51.574434591169201</v>
      </c>
      <c r="AG84" s="57">
        <f t="shared" si="240"/>
        <v>0.67082210873672987</v>
      </c>
      <c r="AH84" s="57">
        <f t="shared" si="240"/>
        <v>15.871308745243255</v>
      </c>
      <c r="AI84" s="57">
        <f t="shared" si="240"/>
        <v>7.8730722123319676</v>
      </c>
      <c r="AJ84" s="57">
        <f t="shared" si="240"/>
        <v>0.20568383456605871</v>
      </c>
      <c r="AK84" s="57">
        <f t="shared" si="240"/>
        <v>4.4858664872026131</v>
      </c>
      <c r="AL84" s="57">
        <f t="shared" si="240"/>
        <v>7.7730160072612229</v>
      </c>
      <c r="AM84" s="57">
        <f t="shared" si="240"/>
        <v>5.2780087642600275</v>
      </c>
      <c r="AN84" s="57">
        <f t="shared" si="240"/>
        <v>2.9455760834958777</v>
      </c>
      <c r="AO84" s="57">
        <f t="shared" si="240"/>
        <v>1.2622111657330415</v>
      </c>
      <c r="AP84" s="57">
        <f>SUM(AF84:AO84)</f>
        <v>97.939999999999969</v>
      </c>
      <c r="AQ84" s="57"/>
      <c r="AR84" s="84">
        <f t="shared" si="241"/>
        <v>51.413359115337684</v>
      </c>
      <c r="AS84" s="85">
        <f t="shared" si="241"/>
        <v>0.66872702051676958</v>
      </c>
      <c r="AT84" s="85">
        <f t="shared" si="241"/>
        <v>15.821740027166667</v>
      </c>
      <c r="AU84" s="85">
        <f t="shared" si="241"/>
        <v>7.8484833077145923</v>
      </c>
      <c r="AV84" s="85">
        <f t="shared" si="241"/>
        <v>0.20504144998567106</v>
      </c>
      <c r="AW84" s="85">
        <f t="shared" si="241"/>
        <v>4.4718563854017779</v>
      </c>
      <c r="AX84" s="85">
        <f t="shared" si="241"/>
        <v>7.7487395946947917</v>
      </c>
      <c r="AY84" s="85">
        <f t="shared" si="241"/>
        <v>5.2615246713196919</v>
      </c>
      <c r="AZ84" s="85">
        <f t="shared" si="241"/>
        <v>2.9363765629774643</v>
      </c>
      <c r="BA84" s="85">
        <f t="shared" si="241"/>
        <v>1.2582690718306659</v>
      </c>
      <c r="BB84" s="85">
        <f>SUM(AR84:BA84)</f>
        <v>97.634117206945774</v>
      </c>
      <c r="BC84" s="85">
        <f t="shared" si="242"/>
        <v>3.0866354571834345</v>
      </c>
      <c r="BD84" s="85">
        <f t="shared" si="242"/>
        <v>5.0677306435853717</v>
      </c>
      <c r="BE84" s="85">
        <f>BB84+BC84+BD84+B84-AU84</f>
        <v>100</v>
      </c>
      <c r="BF84" s="84">
        <f t="shared" si="243"/>
        <v>52.494750985641907</v>
      </c>
      <c r="BG84" s="85">
        <f t="shared" si="243"/>
        <v>0.68279254698465341</v>
      </c>
      <c r="BH84" s="85">
        <f t="shared" si="243"/>
        <v>16.154523205193659</v>
      </c>
      <c r="BI84" s="85">
        <f t="shared" si="244"/>
        <v>3.1515575425601745</v>
      </c>
      <c r="BJ84" s="85">
        <f t="shared" si="244"/>
        <v>5.1743216699871066</v>
      </c>
      <c r="BK84" s="85">
        <f t="shared" si="245"/>
        <v>0.20935414538050956</v>
      </c>
      <c r="BL84" s="85">
        <f t="shared" si="245"/>
        <v>4.5659142182987313</v>
      </c>
      <c r="BM84" s="85">
        <f t="shared" si="245"/>
        <v>7.9117210482895564</v>
      </c>
      <c r="BN84" s="85">
        <f t="shared" si="245"/>
        <v>5.372191822870831</v>
      </c>
      <c r="BO84" s="85">
        <f t="shared" si="245"/>
        <v>2.9981382101056409</v>
      </c>
      <c r="BP84" s="85">
        <f t="shared" si="245"/>
        <v>1.2847346046872228</v>
      </c>
      <c r="BQ84" s="85">
        <f>SUM(BF84:BP84)</f>
        <v>99.999999999999972</v>
      </c>
      <c r="BR84" s="85"/>
      <c r="BS84" s="82">
        <f>AR84/Weights!$B$5*2+AS84/Weights!$B$7*2+AT84/Weights!$B$8*3+'Data and calc.'!BC84/Weights!$B$20*3+'Data and calc.'!BD84/Weights!$B$10+'Data and calc.'!AV84/Weights!$B$11+'Data and calc.'!AW84/Weights!$B$13+'Data and calc.'!AX84/Weights!$B$14+'Data and calc.'!AY84/Weights!$B$15+AZ84/Weights!$B$16+B84/Weights!$B$19+'Data and calc.'!BA84/Weights!$B$6*5</f>
        <v>2.8489730082443594</v>
      </c>
      <c r="BT84" s="84">
        <f>AR84/Weights!$B$5*8/'Data and calc.'!$BS84</f>
        <v>2.4028464714634175</v>
      </c>
      <c r="BU84" s="85">
        <f>AS84/Weights!$B$7*8/'Data and calc.'!$BS84</f>
        <v>2.3512241181263695E-2</v>
      </c>
      <c r="BV84" s="85">
        <f>AT84/Weights!$B$8*8/'Data and calc.'!$BS84*2</f>
        <v>0.8714766141054785</v>
      </c>
      <c r="BW84" s="85">
        <f>BC84/Weights!$B$20*8/'Data and calc.'!$BS84*2</f>
        <v>0.10855439887596878</v>
      </c>
      <c r="BX84" s="85">
        <f>BD84/Weights!$B$10*8/'Data and calc.'!$BS84</f>
        <v>0.19807272280560631</v>
      </c>
      <c r="BY84" s="85">
        <f>AV84/Weights!$B$11*8/'Data and calc.'!$BS84</f>
        <v>8.116526848180157E-3</v>
      </c>
      <c r="BZ84" s="85">
        <f>AW84/Weights!$B$13*8/'Data and calc.'!$BS84</f>
        <v>0.31155975224920834</v>
      </c>
      <c r="CA84" s="85">
        <f>AX84/Weights!$B$14*8/'Data and calc.'!$BS84</f>
        <v>0.38801449230022433</v>
      </c>
      <c r="CB84" s="85">
        <f>AY84/Weights!$B$15*8/'Data and calc.'!$BS84*2</f>
        <v>0.47676232354569587</v>
      </c>
      <c r="CC84" s="85">
        <f>AZ84/Weights!$B$16*8/'Data and calc.'!$BS84*2</f>
        <v>0.17507042266026873</v>
      </c>
      <c r="CD84" s="85">
        <f>BA84/Weights!$B$6*8/'Data and calc.'!$BS84*2</f>
        <v>4.9784160704015992E-2</v>
      </c>
      <c r="CE84" s="85">
        <f>B84/Weights!$B$19*8/'Data and calc.'!$BS84*2</f>
        <v>0.64219157234444724</v>
      </c>
      <c r="CF84" s="85">
        <f>SUM(BT84:BW84)*4</f>
        <v>13.625558902504514</v>
      </c>
      <c r="CG84" s="85">
        <f>(16-CF84)/SUM(BT84:BW84)</f>
        <v>0.69705503149938031</v>
      </c>
      <c r="CH84" s="85">
        <f t="shared" si="238"/>
        <v>0.12808556358009424</v>
      </c>
      <c r="CI84" s="85">
        <f>AR84/Weights!$B$5*2+AS84/Weights!$B$7*2+AT84/Weights!$B$8*3+'Data and calc.'!BC84/Weights!$B$20*3+'Data and calc.'!BD84/Weights!$B$10+'Data and calc.'!AV84/Weights!$B$11+'Data and calc.'!AW84/Weights!$B$13+'Data and calc.'!AX84/Weights!$B$14+'Data and calc.'!AY84/Weights!$B$15+AZ84/Weights!$B$16+'Data and calc.'!BA84/Weights!$B$6*5</f>
        <v>2.7346238547611508</v>
      </c>
      <c r="CJ84" s="84">
        <f>AR84/Weights!$B$5*8/'Data and calc.'!$CI84</f>
        <v>2.5033222496892149</v>
      </c>
      <c r="CK84" s="85">
        <f>AS84/Weights!$B$7*8/'Data and calc.'!$CI84</f>
        <v>2.4495412914695886E-2</v>
      </c>
      <c r="CL84" s="85">
        <f>AT84/Weights!$B$8*8/'Data and calc.'!$CI84*2</f>
        <v>0.90791768183399735</v>
      </c>
      <c r="CM84" s="85">
        <f>BC84/Weights!$B$20*8/'Data and calc.'!$CI84*2</f>
        <v>0.11309363508453678</v>
      </c>
      <c r="CN84" s="85">
        <f>BD84/Weights!$B$10*8/'Data and calc.'!$CI84</f>
        <v>0.20635519578319741</v>
      </c>
      <c r="CO84" s="85">
        <f>AV84/Weights!$B$11*8/'Data and calc.'!$CI84</f>
        <v>8.4559219619531993E-3</v>
      </c>
      <c r="CP84" s="85">
        <f>AW84/Weights!$B$13*8/'Data and calc.'!$CI84</f>
        <v>0.32458772092837684</v>
      </c>
      <c r="CQ84" s="85">
        <f>AX84/Weights!$B$14*8/'Data and calc.'!$CI84</f>
        <v>0.40423943989457012</v>
      </c>
      <c r="CR84" s="85">
        <f>AY84/Weights!$B$15*8/'Data and calc.'!$CI84*2</f>
        <v>0.4966982895160138</v>
      </c>
      <c r="CS84" s="85">
        <f>AZ84/Weights!$B$16*8/'Data and calc.'!$CI84*2</f>
        <v>0.18239104724865396</v>
      </c>
      <c r="CT84" s="85">
        <f>BA84/Weights!$B$6*8/'Data and calc.'!$CI84*2</f>
        <v>5.1865900985577848E-2</v>
      </c>
      <c r="CU84" s="85">
        <f>CJ84*2+CK84*2+CL84*1.5+CM84*1.5+CN84+CO84+CP84+CQ84+CR84*0.5+CS84*0.5+CT84*2.5</f>
        <v>7.9999999999999973</v>
      </c>
      <c r="CV84" s="85">
        <f>SUM(CJ84:CM84)*4</f>
        <v>14.195315918089777</v>
      </c>
      <c r="CW84" s="85">
        <f>(16-CV84)/SUM(CJ84:CM84)</f>
        <v>0.5085294592451941</v>
      </c>
      <c r="CX84" s="113"/>
      <c r="CY84" s="90">
        <f t="shared" si="246"/>
        <v>2.4928901640154707E-2</v>
      </c>
      <c r="CZ84" s="91">
        <f>100*CY84/(1+CY84)</f>
        <v>2.4322566765618507</v>
      </c>
      <c r="DA84" s="85">
        <f>CZ84-B84</f>
        <v>0.37225667656185069</v>
      </c>
      <c r="DB84" s="85">
        <f t="shared" si="230"/>
        <v>0.37225667656185069</v>
      </c>
      <c r="DC84" s="85">
        <f>DA84^2</f>
        <v>0.1385750332448743</v>
      </c>
      <c r="DD84" s="117"/>
      <c r="DE84" s="97"/>
      <c r="DF84" s="91">
        <f t="shared" si="247"/>
        <v>2.4419251385868606</v>
      </c>
      <c r="DG84" s="85">
        <f>DF84-B84</f>
        <v>0.3819251385868605</v>
      </c>
      <c r="DH84" s="85">
        <f t="shared" si="233"/>
        <v>0.3819251385868605</v>
      </c>
      <c r="DI84" s="85">
        <f>DG84^2</f>
        <v>0.1458668114845926</v>
      </c>
      <c r="DK84" s="117"/>
      <c r="DL84" s="99">
        <f>'Eq. 3 coef.'!$B$15+'Eq. 3 coef.'!$B$16*'Data and calc.'!G84^2+'Eq. 3 coef.'!$B$17*'Data and calc.'!G84+'Eq. 3 coef.'!$B$18*'Data and calc.'!BF84+'Eq. 3 coef.'!$B$19*'Data and calc.'!BG84+'Eq. 3 coef.'!$B$20*'Data and calc.'!BH84+'Eq. 3 coef.'!$B$21*'Data and calc.'!BI84+'Eq. 3 coef.'!$B$22*'Data and calc.'!BJ84+'Eq. 3 coef.'!$B$23*'Data and calc.'!BK84+'Eq. 3 coef.'!$B$24*'Data and calc.'!BL84+'Eq. 3 coef.'!$B$25*'Data and calc.'!BM84+'Eq. 3 coef.'!$B$26*'Data and calc.'!BN84+'Eq. 3 coef.'!$B$27*'Data and calc.'!BO84+'Eq. 3 coef.'!$B$28*'Data and calc.'!BP84</f>
        <v>2.1376051259030646</v>
      </c>
      <c r="DM84" s="85">
        <f>DL84-B84</f>
        <v>7.7605125903064565E-2</v>
      </c>
      <c r="DN84" s="85">
        <f t="shared" si="235"/>
        <v>7.7605125903064565E-2</v>
      </c>
      <c r="DO84" s="85">
        <f>DM84^2</f>
        <v>6.0225555664305029E-3</v>
      </c>
      <c r="DP84" s="117"/>
      <c r="DQ84" s="99">
        <f>'Eq. 4 coef.'!$B$15+'Eq. 4 coef.'!$B$16*'Data and calc.'!G84^2+'Eq. 4 coef.'!$B$17*'Data and calc.'!G84+'Eq. 4 coef.'!$B$18*'Data and calc.'!O84+'Eq. 4 coef.'!$B$19*'Data and calc.'!P84+'Eq. 4 coef.'!$B$20*'Data and calc.'!Q84+'Eq. 4 coef.'!$B$21*'Data and calc.'!R84+'Eq. 4 coef.'!$B$22*'Data and calc.'!S84+'Eq. 4 coef.'!$B$23*'Data and calc.'!T84+'Eq. 4 coef.'!$B$24*'Data and calc.'!U84+'Eq. 4 coef.'!$B$25*'Data and calc.'!V84+'Eq. 4 coef.'!$B$26*'Data and calc.'!W84+'Eq. 4 coef.'!$B$27*'Data and calc.'!X84</f>
        <v>2.1460853113230769</v>
      </c>
      <c r="DR84" s="85">
        <f>DQ84-B84</f>
        <v>8.6085311323076841E-2</v>
      </c>
      <c r="DS84" s="85">
        <f t="shared" si="236"/>
        <v>8.6085311323076841E-2</v>
      </c>
      <c r="DT84" s="85">
        <f>DR84^2</f>
        <v>7.4106808255910619E-3</v>
      </c>
    </row>
    <row r="85" spans="1:125" ht="16" x14ac:dyDescent="0.2">
      <c r="A85" s="66" t="s">
        <v>92</v>
      </c>
      <c r="B85" s="73">
        <v>1.405</v>
      </c>
      <c r="C85" s="73">
        <v>5.8309518948453008E-2</v>
      </c>
      <c r="D85" s="126">
        <f>C85*100/B85</f>
        <v>4.1501436973987902</v>
      </c>
      <c r="E85" s="72">
        <f>B85/(100-B85)</f>
        <v>1.4250215528170801E-2</v>
      </c>
      <c r="F85" s="64">
        <f t="shared" si="239"/>
        <v>5.9365912785678496</v>
      </c>
      <c r="G85" s="73">
        <v>2.4365121133636602</v>
      </c>
      <c r="H85" s="73">
        <v>7.3864166050411073E-2</v>
      </c>
      <c r="I85" s="126">
        <f t="shared" si="212"/>
        <v>3.0315534096992409</v>
      </c>
      <c r="J85" s="70">
        <v>1200</v>
      </c>
      <c r="K85" s="70">
        <v>300</v>
      </c>
      <c r="L85" s="73">
        <v>0.13406605146560804</v>
      </c>
      <c r="M85" s="70">
        <v>2.2999999999999998</v>
      </c>
      <c r="N85" s="64">
        <f>M85+2*LOG(L85)</f>
        <v>0.554637637318252</v>
      </c>
      <c r="O85" s="77">
        <v>52.659214407973458</v>
      </c>
      <c r="P85" s="78">
        <v>0.68493170179367979</v>
      </c>
      <c r="Q85" s="78">
        <v>16.205134516278594</v>
      </c>
      <c r="R85" s="78">
        <v>8.0386687893934727</v>
      </c>
      <c r="S85" s="78">
        <v>0.21001004141929622</v>
      </c>
      <c r="T85" s="78">
        <v>4.5802189985732218</v>
      </c>
      <c r="U85" s="78">
        <v>7.9365080735769071</v>
      </c>
      <c r="V85" s="78">
        <v>5.3890226304472417</v>
      </c>
      <c r="W85" s="78">
        <v>3.0075312267672838</v>
      </c>
      <c r="X85" s="78">
        <v>1.2887596137768444</v>
      </c>
      <c r="Y85" s="73">
        <f t="shared" si="213"/>
        <v>99.999999999999986</v>
      </c>
      <c r="Z85" s="73">
        <v>8.396553857214526</v>
      </c>
      <c r="AA85" s="73">
        <v>0.44951728741561547</v>
      </c>
      <c r="AB85" s="59">
        <f>(R85-AC85)*1.11</f>
        <v>2.5719547232708928</v>
      </c>
      <c r="AC85" s="60">
        <f>R85*1.11/(AA85+1.11)</f>
        <v>5.7215924621223984</v>
      </c>
      <c r="AD85" s="57">
        <f>100-R85+AB85+AC85</f>
        <v>100.25487839599982</v>
      </c>
      <c r="AE85" s="57"/>
      <c r="AF85" s="57">
        <f t="shared" si="240"/>
        <v>51.919352445541428</v>
      </c>
      <c r="AG85" s="57">
        <f t="shared" si="240"/>
        <v>0.67530841138347852</v>
      </c>
      <c r="AH85" s="57">
        <f t="shared" si="240"/>
        <v>15.97745237632488</v>
      </c>
      <c r="AI85" s="57">
        <f t="shared" si="240"/>
        <v>7.9257254929024938</v>
      </c>
      <c r="AJ85" s="57">
        <f t="shared" si="240"/>
        <v>0.20705940033735509</v>
      </c>
      <c r="AK85" s="57">
        <f t="shared" si="240"/>
        <v>4.5158669216432683</v>
      </c>
      <c r="AL85" s="57">
        <f t="shared" si="240"/>
        <v>7.8250001351431511</v>
      </c>
      <c r="AM85" s="57">
        <f t="shared" si="240"/>
        <v>5.3133068624894575</v>
      </c>
      <c r="AN85" s="57">
        <f t="shared" si="240"/>
        <v>2.9652754130312036</v>
      </c>
      <c r="AO85" s="57">
        <f t="shared" si="240"/>
        <v>1.2706525412032799</v>
      </c>
      <c r="AP85" s="57">
        <f t="shared" si="215"/>
        <v>98.594999999999999</v>
      </c>
      <c r="AQ85" s="57"/>
      <c r="AR85" s="84">
        <f t="shared" si="241"/>
        <v>51.787357659009452</v>
      </c>
      <c r="AS85" s="85">
        <f t="shared" si="241"/>
        <v>0.6735915719892025</v>
      </c>
      <c r="AT85" s="85">
        <f t="shared" si="241"/>
        <v>15.936832832428413</v>
      </c>
      <c r="AU85" s="85">
        <f t="shared" si="241"/>
        <v>7.9055758878849041</v>
      </c>
      <c r="AV85" s="85">
        <f t="shared" si="241"/>
        <v>0.20653299235921946</v>
      </c>
      <c r="AW85" s="85">
        <f t="shared" si="241"/>
        <v>4.5043862143105962</v>
      </c>
      <c r="AX85" s="85">
        <f t="shared" si="241"/>
        <v>7.8051066046232114</v>
      </c>
      <c r="AY85" s="85">
        <f t="shared" si="241"/>
        <v>5.2997988202651483</v>
      </c>
      <c r="AZ85" s="85">
        <f t="shared" si="241"/>
        <v>2.9577367809659805</v>
      </c>
      <c r="BA85" s="85">
        <f t="shared" si="241"/>
        <v>1.2674221559416692</v>
      </c>
      <c r="BB85" s="85">
        <f t="shared" si="217"/>
        <v>98.344341519777785</v>
      </c>
      <c r="BC85" s="85">
        <f t="shared" si="242"/>
        <v>2.5293719367875829</v>
      </c>
      <c r="BD85" s="85">
        <f t="shared" si="242"/>
        <v>5.6268624313195144</v>
      </c>
      <c r="BE85" s="85">
        <f>BB85+BC85+BD85+B85-AU85</f>
        <v>99.999999999999972</v>
      </c>
      <c r="BF85" s="84">
        <f t="shared" si="243"/>
        <v>52.525338667284799</v>
      </c>
      <c r="BG85" s="85">
        <f t="shared" si="243"/>
        <v>0.68319039706800799</v>
      </c>
      <c r="BH85" s="85">
        <f t="shared" si="243"/>
        <v>16.163936135126946</v>
      </c>
      <c r="BI85" s="85">
        <f t="shared" si="244"/>
        <v>2.5654160320377128</v>
      </c>
      <c r="BJ85" s="85">
        <f t="shared" si="244"/>
        <v>5.7070464337131845</v>
      </c>
      <c r="BK85" s="85">
        <f t="shared" si="245"/>
        <v>0.20947613201401638</v>
      </c>
      <c r="BL85" s="85">
        <f t="shared" si="245"/>
        <v>4.5685746886866436</v>
      </c>
      <c r="BM85" s="85">
        <f t="shared" si="245"/>
        <v>7.9163310559594411</v>
      </c>
      <c r="BN85" s="85">
        <f t="shared" si="245"/>
        <v>5.3753220957098717</v>
      </c>
      <c r="BO85" s="85">
        <f t="shared" si="245"/>
        <v>2.9998851675703437</v>
      </c>
      <c r="BP85" s="85">
        <f t="shared" si="245"/>
        <v>1.2854831948290169</v>
      </c>
      <c r="BQ85" s="85">
        <f t="shared" si="222"/>
        <v>100</v>
      </c>
      <c r="BR85" s="85"/>
      <c r="BS85" s="82">
        <f>AR85/Weights!$B$5*2+AS85/Weights!$B$7*2+AT85/Weights!$B$8*3+'Data and calc.'!BC85/Weights!$B$20*3+'Data and calc.'!BD85/Weights!$B$10+'Data and calc.'!AV85/Weights!$B$11+'Data and calc.'!AW85/Weights!$B$13+'Data and calc.'!AX85/Weights!$B$14+'Data and calc.'!AY85/Weights!$B$15+AZ85/Weights!$B$16+B85/Weights!$B$19+'Data and calc.'!BA85/Weights!$B$6*5</f>
        <v>2.8288854861147961</v>
      </c>
      <c r="BT85" s="84">
        <f>AR85/Weights!$B$5*8/'Data and calc.'!$BS85</f>
        <v>2.4375120024578587</v>
      </c>
      <c r="BU85" s="85">
        <f>AS85/Weights!$B$7*8/'Data and calc.'!$BS85</f>
        <v>2.3851449006273617E-2</v>
      </c>
      <c r="BV85" s="85">
        <f>AT85/Weights!$B$8*8/'Data and calc.'!$BS85*2</f>
        <v>0.88404928569976693</v>
      </c>
      <c r="BW85" s="85">
        <f>BC85/Weights!$B$20*8/'Data and calc.'!$BS85*2</f>
        <v>8.958756838127177E-2</v>
      </c>
      <c r="BX85" s="85">
        <f>BD85/Weights!$B$10*8/'Data and calc.'!$BS85</f>
        <v>0.22148810769847466</v>
      </c>
      <c r="BY85" s="85">
        <f>AV85/Weights!$B$11*8/'Data and calc.'!$BS85</f>
        <v>8.2336228492623405E-3</v>
      </c>
      <c r="BZ85" s="85">
        <f>AW85/Weights!$B$13*8/'Data and calc.'!$BS85</f>
        <v>0.31605458135147618</v>
      </c>
      <c r="CA85" s="85">
        <f>AX85/Weights!$B$14*8/'Data and calc.'!$BS85</f>
        <v>0.39361232327647211</v>
      </c>
      <c r="CB85" s="85">
        <f>AY85/Weights!$B$15*8/'Data and calc.'!$BS85*2</f>
        <v>0.48364050710845574</v>
      </c>
      <c r="CC85" s="85">
        <f>AZ85/Weights!$B$16*8/'Data and calc.'!$BS85*2</f>
        <v>0.17759613923642736</v>
      </c>
      <c r="CD85" s="85">
        <f>BA85/Weights!$B$6*8/'Data and calc.'!$BS85*2</f>
        <v>5.0502389848663023E-2</v>
      </c>
      <c r="CE85" s="85">
        <f>B85/Weights!$B$19*8/'Data and calc.'!$BS85*2</f>
        <v>0.44110976596078666</v>
      </c>
      <c r="CF85" s="85">
        <f t="shared" si="223"/>
        <v>13.740001222180684</v>
      </c>
      <c r="CG85" s="85">
        <f t="shared" si="224"/>
        <v>0.65793262788680607</v>
      </c>
      <c r="CH85" s="85">
        <f t="shared" si="238"/>
        <v>8.6728011556719484E-2</v>
      </c>
      <c r="CI85" s="85">
        <f>AR85/Weights!$B$5*2+AS85/Weights!$B$7*2+AT85/Weights!$B$8*3+'Data and calc.'!BC85/Weights!$B$20*3+'Data and calc.'!BD85/Weights!$B$10+'Data and calc.'!AV85/Weights!$B$11+'Data and calc.'!AW85/Weights!$B$13+'Data and calc.'!AX85/Weights!$B$14+'Data and calc.'!AY85/Weights!$B$15+AZ85/Weights!$B$16+'Data and calc.'!BA85/Weights!$B$6*5</f>
        <v>2.7508949226954234</v>
      </c>
      <c r="CJ85" s="84">
        <f>AR85/Weights!$B$5*8/'Data and calc.'!$CI85</f>
        <v>2.5066178533737862</v>
      </c>
      <c r="CK85" s="85">
        <f>AS85/Weights!$B$7*8/'Data and calc.'!$CI85</f>
        <v>2.4527660929535681E-2</v>
      </c>
      <c r="CL85" s="85">
        <f>AT85/Weights!$B$8*8/'Data and calc.'!$CI85*2</f>
        <v>0.90911294818770438</v>
      </c>
      <c r="CM85" s="85">
        <f>BC85/Weights!$B$20*8/'Data and calc.'!$CI85*2</f>
        <v>9.2127463626191147E-2</v>
      </c>
      <c r="CN85" s="85">
        <f>BD85/Weights!$B$10*8/'Data and calc.'!$CI85</f>
        <v>0.22776751232697609</v>
      </c>
      <c r="CO85" s="85">
        <f>AV85/Weights!$B$11*8/'Data and calc.'!$CI85</f>
        <v>8.4670541154654826E-3</v>
      </c>
      <c r="CP85" s="85">
        <f>AW85/Weights!$B$13*8/'Data and calc.'!$CI85</f>
        <v>0.32501503806231391</v>
      </c>
      <c r="CQ85" s="85">
        <f>AX85/Weights!$B$14*8/'Data and calc.'!$CI85</f>
        <v>0.40477161787833982</v>
      </c>
      <c r="CR85" s="85">
        <f>AY85/Weights!$B$15*8/'Data and calc.'!$CI85*2</f>
        <v>0.49735218883451043</v>
      </c>
      <c r="CS85" s="85">
        <f>AZ85/Weights!$B$16*8/'Data and calc.'!$CI85*2</f>
        <v>0.18263116360100135</v>
      </c>
      <c r="CT85" s="85">
        <f>BA85/Weights!$B$6*8/'Data and calc.'!$CI85*2</f>
        <v>5.1934182028664851E-2</v>
      </c>
      <c r="CU85" s="85">
        <f t="shared" si="225"/>
        <v>8</v>
      </c>
      <c r="CV85" s="85">
        <f t="shared" si="226"/>
        <v>14.129543704468869</v>
      </c>
      <c r="CW85" s="85">
        <f t="shared" si="227"/>
        <v>0.52951640467753991</v>
      </c>
      <c r="CX85" s="113"/>
      <c r="CY85" s="90">
        <f t="shared" si="246"/>
        <v>1.7308369296061114E-2</v>
      </c>
      <c r="CZ85" s="91">
        <f t="shared" si="229"/>
        <v>1.7013886662544466</v>
      </c>
      <c r="DA85" s="85">
        <f>CZ85-B85</f>
        <v>0.2963886662544466</v>
      </c>
      <c r="DB85" s="85">
        <f t="shared" si="230"/>
        <v>0.2963886662544466</v>
      </c>
      <c r="DC85" s="85">
        <f t="shared" si="231"/>
        <v>8.7846241484089732E-2</v>
      </c>
      <c r="DD85" s="117"/>
      <c r="DE85" s="97"/>
      <c r="DF85" s="91">
        <f t="shared" si="247"/>
        <v>1.704819872802491</v>
      </c>
      <c r="DG85" s="85">
        <f>DF85-B85</f>
        <v>0.29981987280249101</v>
      </c>
      <c r="DH85" s="85">
        <f t="shared" si="233"/>
        <v>0.29981987280249101</v>
      </c>
      <c r="DI85" s="85">
        <f t="shared" si="234"/>
        <v>8.9891956127301886E-2</v>
      </c>
      <c r="DK85" s="117"/>
      <c r="DL85" s="99">
        <f>'Eq. 3 coef.'!$B$15+'Eq. 3 coef.'!$B$16*'Data and calc.'!G85^2+'Eq. 3 coef.'!$B$17*'Data and calc.'!G85+'Eq. 3 coef.'!$B$18*'Data and calc.'!BF85+'Eq. 3 coef.'!$B$19*'Data and calc.'!BG85+'Eq. 3 coef.'!$B$20*'Data and calc.'!BH85+'Eq. 3 coef.'!$B$21*'Data and calc.'!BI85+'Eq. 3 coef.'!$B$22*'Data and calc.'!BJ85+'Eq. 3 coef.'!$B$23*'Data and calc.'!BK85+'Eq. 3 coef.'!$B$24*'Data and calc.'!BL85+'Eq. 3 coef.'!$B$25*'Data and calc.'!BM85+'Eq. 3 coef.'!$B$26*'Data and calc.'!BN85+'Eq. 3 coef.'!$B$27*'Data and calc.'!BO85+'Eq. 3 coef.'!$B$28*'Data and calc.'!BP85</f>
        <v>1.398580831628351</v>
      </c>
      <c r="DM85" s="85">
        <f>DL85-B85</f>
        <v>-6.41916837164902E-3</v>
      </c>
      <c r="DN85" s="85">
        <f t="shared" si="235"/>
        <v>6.41916837164902E-3</v>
      </c>
      <c r="DO85" s="85">
        <f t="shared" si="207"/>
        <v>4.1205722583579129E-5</v>
      </c>
      <c r="DP85" s="117"/>
      <c r="DQ85" s="99">
        <f>'Eq. 4 coef.'!$B$15+'Eq. 4 coef.'!$B$16*'Data and calc.'!G85^2+'Eq. 4 coef.'!$B$17*'Data and calc.'!G85+'Eq. 4 coef.'!$B$18*'Data and calc.'!O85+'Eq. 4 coef.'!$B$19*'Data and calc.'!P85+'Eq. 4 coef.'!$B$20*'Data and calc.'!Q85+'Eq. 4 coef.'!$B$21*'Data and calc.'!R85+'Eq. 4 coef.'!$B$22*'Data and calc.'!S85+'Eq. 4 coef.'!$B$23*'Data and calc.'!T85+'Eq. 4 coef.'!$B$24*'Data and calc.'!U85+'Eq. 4 coef.'!$B$25*'Data and calc.'!V85+'Eq. 4 coef.'!$B$26*'Data and calc.'!W85+'Eq. 4 coef.'!$B$27*'Data and calc.'!X85</f>
        <v>1.4176103546187733</v>
      </c>
      <c r="DR85" s="85">
        <f>DQ85-B85</f>
        <v>1.2610354618773245E-2</v>
      </c>
      <c r="DS85" s="85">
        <f t="shared" si="236"/>
        <v>1.2610354618773245E-2</v>
      </c>
      <c r="DT85" s="85">
        <f t="shared" si="237"/>
        <v>1.5902104361121571E-4</v>
      </c>
    </row>
    <row r="86" spans="1:125" ht="16" x14ac:dyDescent="0.2">
      <c r="A86" s="66" t="s">
        <v>94</v>
      </c>
      <c r="B86" s="73">
        <v>2.355</v>
      </c>
      <c r="C86" s="73">
        <v>6.7082039324993695E-2</v>
      </c>
      <c r="D86" s="126">
        <f>C86*100/B86</f>
        <v>2.8484942388532355</v>
      </c>
      <c r="E86" s="72">
        <f>B86/(100-B86)</f>
        <v>2.4117978391110656E-2</v>
      </c>
      <c r="F86" s="64">
        <f t="shared" si="239"/>
        <v>13.048333647385681</v>
      </c>
      <c r="G86" s="73">
        <v>3.6122477278539025</v>
      </c>
      <c r="H86" s="73">
        <v>0.10532828850527716</v>
      </c>
      <c r="I86" s="126">
        <f t="shared" si="212"/>
        <v>2.9158655895357013</v>
      </c>
      <c r="J86" s="70">
        <v>1200</v>
      </c>
      <c r="K86" s="70">
        <v>300</v>
      </c>
      <c r="L86" s="73">
        <v>0.30071564519001587</v>
      </c>
      <c r="M86" s="70">
        <v>2.2999999999999998</v>
      </c>
      <c r="N86" s="64">
        <f>M86+2*LOG(L86)</f>
        <v>1.2563120470419988</v>
      </c>
      <c r="O86" s="77">
        <v>52.659214407973458</v>
      </c>
      <c r="P86" s="78">
        <v>0.68493170179367979</v>
      </c>
      <c r="Q86" s="78">
        <v>16.205134516278594</v>
      </c>
      <c r="R86" s="78">
        <v>8.0386687893934727</v>
      </c>
      <c r="S86" s="78">
        <v>0.21001004141929622</v>
      </c>
      <c r="T86" s="78">
        <v>4.5802189985732218</v>
      </c>
      <c r="U86" s="78">
        <v>7.9365080735769071</v>
      </c>
      <c r="V86" s="78">
        <v>5.3890226304472417</v>
      </c>
      <c r="W86" s="78">
        <v>3.0075312267672838</v>
      </c>
      <c r="X86" s="78">
        <v>1.2887596137768444</v>
      </c>
      <c r="Y86" s="73">
        <f>SUM(O86:X86)</f>
        <v>99.999999999999986</v>
      </c>
      <c r="Z86" s="73">
        <v>8.396553857214526</v>
      </c>
      <c r="AA86" s="73">
        <v>0.67328138905412127</v>
      </c>
      <c r="AB86" s="59">
        <f>(R86-AC86)*1.11</f>
        <v>3.3688668514669815</v>
      </c>
      <c r="AC86" s="60">
        <f>R86*1.11/(AA86+1.11)</f>
        <v>5.003653607891688</v>
      </c>
      <c r="AD86" s="57">
        <f>100-R86+AB86+AC86</f>
        <v>100.3338516699652</v>
      </c>
      <c r="AE86" s="57"/>
      <c r="AF86" s="57">
        <f t="shared" si="240"/>
        <v>51.419089908665683</v>
      </c>
      <c r="AG86" s="57">
        <f t="shared" si="240"/>
        <v>0.66880156021643855</v>
      </c>
      <c r="AH86" s="57">
        <f t="shared" si="240"/>
        <v>15.823503598420231</v>
      </c>
      <c r="AI86" s="57">
        <f t="shared" si="240"/>
        <v>7.8493581394032557</v>
      </c>
      <c r="AJ86" s="57">
        <f t="shared" si="240"/>
        <v>0.20506430494387179</v>
      </c>
      <c r="AK86" s="57">
        <f t="shared" si="240"/>
        <v>4.4723548411568217</v>
      </c>
      <c r="AL86" s="57">
        <f t="shared" si="240"/>
        <v>7.7496033084441702</v>
      </c>
      <c r="AM86" s="57">
        <f t="shared" si="240"/>
        <v>5.2621111475002094</v>
      </c>
      <c r="AN86" s="57">
        <f t="shared" si="240"/>
        <v>2.9367038663769143</v>
      </c>
      <c r="AO86" s="57">
        <f t="shared" si="240"/>
        <v>1.2584093248723998</v>
      </c>
      <c r="AP86" s="57">
        <f>SUM(AF86:AO86)</f>
        <v>97.644999999999996</v>
      </c>
      <c r="AQ86" s="57"/>
      <c r="AR86" s="84">
        <f t="shared" si="241"/>
        <v>51.247997612811588</v>
      </c>
      <c r="AS86" s="85">
        <f t="shared" si="241"/>
        <v>0.66657618449291867</v>
      </c>
      <c r="AT86" s="85">
        <f t="shared" si="241"/>
        <v>15.770852344500371</v>
      </c>
      <c r="AU86" s="85">
        <f t="shared" si="241"/>
        <v>7.8232401216118674</v>
      </c>
      <c r="AV86" s="85">
        <f t="shared" si="241"/>
        <v>0.20438197231618638</v>
      </c>
      <c r="AW86" s="85">
        <f t="shared" si="241"/>
        <v>4.4574734914673027</v>
      </c>
      <c r="AX86" s="85">
        <f t="shared" si="241"/>
        <v>7.7238172156845479</v>
      </c>
      <c r="AY86" s="85">
        <f t="shared" si="241"/>
        <v>5.2446019562861199</v>
      </c>
      <c r="AZ86" s="85">
        <f t="shared" si="241"/>
        <v>2.9269322541676255</v>
      </c>
      <c r="BA86" s="85">
        <f t="shared" si="241"/>
        <v>1.2542220835015574</v>
      </c>
      <c r="BB86" s="85">
        <f>SUM(AR86:BA86)</f>
        <v>97.320095236840089</v>
      </c>
      <c r="BC86" s="85">
        <f t="shared" si="242"/>
        <v>3.2785844282500025</v>
      </c>
      <c r="BD86" s="85">
        <f t="shared" si="242"/>
        <v>4.8695604565217758</v>
      </c>
      <c r="BE86" s="85">
        <f>BB86+BC86+BD86+B86-AU86</f>
        <v>100</v>
      </c>
      <c r="BF86" s="84">
        <f t="shared" si="243"/>
        <v>52.483995711825067</v>
      </c>
      <c r="BG86" s="85">
        <f t="shared" si="243"/>
        <v>0.68265265450654777</v>
      </c>
      <c r="BH86" s="85">
        <f t="shared" si="243"/>
        <v>16.151213420554431</v>
      </c>
      <c r="BI86" s="85">
        <f t="shared" si="244"/>
        <v>3.357657256643968</v>
      </c>
      <c r="BJ86" s="85">
        <f t="shared" si="244"/>
        <v>4.9870044103863753</v>
      </c>
      <c r="BK86" s="85">
        <f t="shared" si="245"/>
        <v>0.20931125230804074</v>
      </c>
      <c r="BL86" s="85">
        <f t="shared" si="245"/>
        <v>4.5649787408134594</v>
      </c>
      <c r="BM86" s="85">
        <f t="shared" si="245"/>
        <v>7.9101000723893176</v>
      </c>
      <c r="BN86" s="85">
        <f t="shared" si="245"/>
        <v>5.3710911529378063</v>
      </c>
      <c r="BO86" s="85">
        <f t="shared" si="245"/>
        <v>2.9975239430258855</v>
      </c>
      <c r="BP86" s="85">
        <f t="shared" si="245"/>
        <v>1.2844713846091018</v>
      </c>
      <c r="BQ86" s="85">
        <f>SUM(BF86:BP86)</f>
        <v>100</v>
      </c>
      <c r="BR86" s="85"/>
      <c r="BS86" s="82">
        <f>AR86/Weights!$B$5*2+AS86/Weights!$B$7*2+AT86/Weights!$B$8*3+'Data and calc.'!BC86/Weights!$B$20*3+'Data and calc.'!BD86/Weights!$B$10+'Data and calc.'!AV86/Weights!$B$11+'Data and calc.'!AW86/Weights!$B$13+'Data and calc.'!AX86/Weights!$B$14+'Data and calc.'!AY86/Weights!$B$15+AZ86/Weights!$B$16+B86/Weights!$B$19+'Data and calc.'!BA86/Weights!$B$6*5</f>
        <v>2.857813979282223</v>
      </c>
      <c r="BT86" s="84">
        <f>AR86/Weights!$B$5*8/'Data and calc.'!$BS86</f>
        <v>2.3877085937582878</v>
      </c>
      <c r="BU86" s="85">
        <f>AS86/Weights!$B$7*8/'Data and calc.'!$BS86</f>
        <v>2.3364114600642538E-2</v>
      </c>
      <c r="BV86" s="85">
        <f>AT86/Weights!$B$8*8/'Data and calc.'!$BS86*2</f>
        <v>0.86598633140790149</v>
      </c>
      <c r="BW86" s="85">
        <f>BC86/Weights!$B$20*8/'Data and calc.'!$BS86*2</f>
        <v>0.11494837502742566</v>
      </c>
      <c r="BX86" s="85">
        <f>BD86/Weights!$B$10*8/'Data and calc.'!$BS86</f>
        <v>0.18973842383417641</v>
      </c>
      <c r="BY86" s="85">
        <f>AV86/Weights!$B$11*8/'Data and calc.'!$BS86</f>
        <v>8.0653929150398818E-3</v>
      </c>
      <c r="BZ86" s="85">
        <f>AW86/Weights!$B$13*8/'Data and calc.'!$BS86</f>
        <v>0.3095969329499309</v>
      </c>
      <c r="CA86" s="85">
        <f>AX86/Weights!$B$14*8/'Data and calc.'!$BS86</f>
        <v>0.38557000989070878</v>
      </c>
      <c r="CB86" s="85">
        <f>AY86/Weights!$B$15*8/'Data and calc.'!$BS86*2</f>
        <v>0.47375873183313311</v>
      </c>
      <c r="CC86" s="85">
        <f>AZ86/Weights!$B$16*8/'Data and calc.'!$BS86*2</f>
        <v>0.17396748300952919</v>
      </c>
      <c r="CD86" s="85">
        <f>BA86/Weights!$B$6*8/'Data and calc.'!$BS86*2</f>
        <v>4.9470521632464771E-2</v>
      </c>
      <c r="CE86" s="85">
        <f>B86/Weights!$B$19*8/'Data and calc.'!$BS86*2</f>
        <v>0.73188470507360004</v>
      </c>
      <c r="CF86" s="85">
        <f t="shared" si="223"/>
        <v>13.56802965917703</v>
      </c>
      <c r="CG86" s="85">
        <f t="shared" si="224"/>
        <v>0.71697082094099163</v>
      </c>
      <c r="CH86" s="85">
        <f t="shared" si="238"/>
        <v>0.1469006444310838</v>
      </c>
      <c r="CI86" s="85">
        <f>AR86/Weights!$B$5*2+AS86/Weights!$B$7*2+AT86/Weights!$B$8*3+'Data and calc.'!BC86/Weights!$B$20*3+'Data and calc.'!BD86/Weights!$B$10+'Data and calc.'!AV86/Weights!$B$11+'Data and calc.'!AW86/Weights!$B$13+'Data and calc.'!AX86/Weights!$B$14+'Data and calc.'!AY86/Weights!$B$15+AZ86/Weights!$B$16+'Data and calc.'!BA86/Weights!$B$6*5</f>
        <v>2.7270895829458368</v>
      </c>
      <c r="CJ86" s="84">
        <f>AR86/Weights!$B$5*8/'Data and calc.'!$CI86</f>
        <v>2.5021645934798245</v>
      </c>
      <c r="CK86" s="85">
        <f>AS86/Weights!$B$7*8/'Data and calc.'!$CI86</f>
        <v>2.4484085061533628E-2</v>
      </c>
      <c r="CL86" s="85">
        <f>AT86/Weights!$B$8*8/'Data and calc.'!$CI86*2</f>
        <v>0.90749781717529376</v>
      </c>
      <c r="CM86" s="85">
        <f>BC86/Weights!$B$20*8/'Data and calc.'!$CI86*2</f>
        <v>0.1204584825901838</v>
      </c>
      <c r="CN86" s="85">
        <f>BD86/Weights!$B$10*8/'Data and calc.'!$CI86</f>
        <v>0.19883362960689882</v>
      </c>
      <c r="CO86" s="85">
        <f>AV86/Weights!$B$11*8/'Data and calc.'!$CI86</f>
        <v>8.4520115382885688E-3</v>
      </c>
      <c r="CP86" s="85">
        <f>AW86/Weights!$B$13*8/'Data and calc.'!$CI86</f>
        <v>0.32443761600653886</v>
      </c>
      <c r="CQ86" s="85">
        <f>AX86/Weights!$B$14*8/'Data and calc.'!$CI86</f>
        <v>0.40405250019963768</v>
      </c>
      <c r="CR86" s="85">
        <f>AY86/Weights!$B$15*8/'Data and calc.'!$CI86*2</f>
        <v>0.4964685924168396</v>
      </c>
      <c r="CS86" s="85">
        <f>AZ86/Weights!$B$16*8/'Data and calc.'!$CI86*2</f>
        <v>0.18230670088517201</v>
      </c>
      <c r="CT86" s="85">
        <f>BA86/Weights!$B$6*8/'Data and calc.'!$CI86*2</f>
        <v>5.1841915706679356E-2</v>
      </c>
      <c r="CU86" s="85">
        <f t="shared" si="225"/>
        <v>8</v>
      </c>
      <c r="CV86" s="85">
        <f t="shared" si="226"/>
        <v>14.218419913227343</v>
      </c>
      <c r="CW86" s="85">
        <f t="shared" si="227"/>
        <v>0.50120339605816799</v>
      </c>
      <c r="CX86" s="113"/>
      <c r="CY86" s="90">
        <f t="shared" si="246"/>
        <v>2.7431452936822098E-2</v>
      </c>
      <c r="CZ86" s="91">
        <f t="shared" si="229"/>
        <v>2.6699058957570077</v>
      </c>
      <c r="DA86" s="85">
        <f>CZ86-B86</f>
        <v>0.31490589575700767</v>
      </c>
      <c r="DB86" s="85">
        <f t="shared" si="230"/>
        <v>0.31490589575700767</v>
      </c>
      <c r="DC86" s="85">
        <f t="shared" si="231"/>
        <v>9.9165723182523383E-2</v>
      </c>
      <c r="DD86" s="117"/>
      <c r="DE86" s="97"/>
      <c r="DF86" s="91">
        <f t="shared" si="247"/>
        <v>2.6810451198770142</v>
      </c>
      <c r="DG86" s="85">
        <f>DF86-B86</f>
        <v>0.32604511987701423</v>
      </c>
      <c r="DH86" s="85">
        <f t="shared" si="233"/>
        <v>0.32604511987701423</v>
      </c>
      <c r="DI86" s="85">
        <f>DG86^2</f>
        <v>0.10630542019561658</v>
      </c>
      <c r="DK86" s="117"/>
      <c r="DL86" s="99">
        <f>'Eq. 3 coef.'!$B$15+'Eq. 3 coef.'!$B$16*'Data and calc.'!G86^2+'Eq. 3 coef.'!$B$17*'Data and calc.'!G86+'Eq. 3 coef.'!$B$18*'Data and calc.'!BF86+'Eq. 3 coef.'!$B$19*'Data and calc.'!BG86+'Eq. 3 coef.'!$B$20*'Data and calc.'!BH86+'Eq. 3 coef.'!$B$21*'Data and calc.'!BI86+'Eq. 3 coef.'!$B$22*'Data and calc.'!BJ86+'Eq. 3 coef.'!$B$23*'Data and calc.'!BK86+'Eq. 3 coef.'!$B$24*'Data and calc.'!BL86+'Eq. 3 coef.'!$B$25*'Data and calc.'!BM86+'Eq. 3 coef.'!$B$26*'Data and calc.'!BN86+'Eq. 3 coef.'!$B$27*'Data and calc.'!BO86+'Eq. 3 coef.'!$B$28*'Data and calc.'!BP86</f>
        <v>2.3753243403116358</v>
      </c>
      <c r="DM86" s="85">
        <f>DL86-B86</f>
        <v>2.0324340311635769E-2</v>
      </c>
      <c r="DN86" s="85">
        <f t="shared" si="235"/>
        <v>2.0324340311635769E-2</v>
      </c>
      <c r="DO86" s="85">
        <f t="shared" si="207"/>
        <v>4.1307880910318277E-4</v>
      </c>
      <c r="DP86" s="117"/>
      <c r="DQ86" s="99">
        <f>'Eq. 4 coef.'!$B$15+'Eq. 4 coef.'!$B$16*'Data and calc.'!G86^2+'Eq. 4 coef.'!$B$17*'Data and calc.'!G86+'Eq. 4 coef.'!$B$18*'Data and calc.'!O86+'Eq. 4 coef.'!$B$19*'Data and calc.'!P86+'Eq. 4 coef.'!$B$20*'Data and calc.'!Q86+'Eq. 4 coef.'!$B$21*'Data and calc.'!R86+'Eq. 4 coef.'!$B$22*'Data and calc.'!S86+'Eq. 4 coef.'!$B$23*'Data and calc.'!T86+'Eq. 4 coef.'!$B$24*'Data and calc.'!U86+'Eq. 4 coef.'!$B$25*'Data and calc.'!V86+'Eq. 4 coef.'!$B$26*'Data and calc.'!W86+'Eq. 4 coef.'!$B$27*'Data and calc.'!X86</f>
        <v>2.3822158969260272</v>
      </c>
      <c r="DR86" s="85">
        <f>DQ86-B86</f>
        <v>2.7215896926027217E-2</v>
      </c>
      <c r="DS86" s="85">
        <f t="shared" si="236"/>
        <v>2.7215896926027217E-2</v>
      </c>
      <c r="DT86" s="85">
        <f>DR86^2</f>
        <v>7.407050454881377E-4</v>
      </c>
    </row>
    <row r="87" spans="1:125" x14ac:dyDescent="0.15">
      <c r="A87" s="142" t="s">
        <v>624</v>
      </c>
      <c r="B87" s="73"/>
      <c r="C87" s="73"/>
      <c r="E87" s="71"/>
      <c r="F87" s="126"/>
      <c r="I87" s="126"/>
      <c r="L87" s="73"/>
      <c r="O87" s="76"/>
      <c r="P87" s="73"/>
      <c r="Q87" s="73"/>
      <c r="R87" s="73"/>
      <c r="S87" s="73"/>
      <c r="T87" s="73"/>
      <c r="U87" s="73"/>
      <c r="V87" s="73"/>
      <c r="W87" s="73"/>
      <c r="Y87" s="73"/>
      <c r="Z87" s="73"/>
      <c r="AA87" s="73"/>
      <c r="AR87" s="84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4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T87" s="84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4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Z87" s="91"/>
      <c r="DA87" s="85"/>
      <c r="DB87" s="85"/>
      <c r="DC87" s="85"/>
      <c r="DF87" s="91"/>
      <c r="DG87" s="85"/>
      <c r="DH87" s="85"/>
      <c r="DI87" s="85"/>
      <c r="DL87" s="99"/>
      <c r="DM87" s="85"/>
      <c r="DN87" s="85"/>
      <c r="DO87" s="85"/>
      <c r="DR87" s="85"/>
      <c r="DS87" s="85"/>
      <c r="DT87" s="85"/>
    </row>
    <row r="88" spans="1:125" ht="15" x14ac:dyDescent="0.2">
      <c r="A88" s="66" t="s">
        <v>622</v>
      </c>
      <c r="B88" s="73">
        <v>3</v>
      </c>
      <c r="C88" s="73">
        <v>0.1</v>
      </c>
      <c r="D88" s="126">
        <f>C88*100/B88</f>
        <v>3.3333333333333335</v>
      </c>
      <c r="E88" s="72">
        <f>B88/(100-B88)</f>
        <v>3.0927835051546393E-2</v>
      </c>
      <c r="F88" s="64">
        <f>G88^2</f>
        <v>12.921477664807719</v>
      </c>
      <c r="G88" s="73">
        <v>3.594645693918626</v>
      </c>
      <c r="H88" s="73">
        <v>5.5739391981717214E-2</v>
      </c>
      <c r="I88" s="126">
        <f t="shared" si="106"/>
        <v>1.5506226963067982</v>
      </c>
      <c r="J88" s="70">
        <v>1200</v>
      </c>
      <c r="K88" s="70">
        <v>200</v>
      </c>
      <c r="L88" s="73">
        <v>0.51819753211071584</v>
      </c>
      <c r="M88" s="70">
        <v>2.2999999999999998</v>
      </c>
      <c r="N88" s="64">
        <f>M88+2*LOG(L88)</f>
        <v>1.7289906806988777</v>
      </c>
      <c r="O88" s="76">
        <v>59.908399031012316</v>
      </c>
      <c r="P88" s="73">
        <v>0.50414665769918765</v>
      </c>
      <c r="Q88" s="73">
        <v>15.599663286875828</v>
      </c>
      <c r="R88" s="73">
        <v>5.8617120545125259</v>
      </c>
      <c r="S88" s="73">
        <v>0.13204596489895482</v>
      </c>
      <c r="T88" s="73">
        <v>2.911438775564164</v>
      </c>
      <c r="U88" s="73">
        <v>5.4915391453044027</v>
      </c>
      <c r="V88" s="73">
        <v>3.8786428980404382</v>
      </c>
      <c r="W88" s="73">
        <v>5.3987555459834065</v>
      </c>
      <c r="X88" s="73">
        <v>0.31365664010876343</v>
      </c>
      <c r="Y88" s="73">
        <f>SUM(O88:X88)</f>
        <v>99.999999999999972</v>
      </c>
      <c r="Z88" s="73">
        <v>9.2773984440238451</v>
      </c>
      <c r="AA88" s="73">
        <v>0.99934621825676995</v>
      </c>
      <c r="AB88" s="59">
        <f>(R88-AC88)*1.11</f>
        <v>3.0825885732127314</v>
      </c>
      <c r="AC88" s="60">
        <f>R88*1.11/(AA88+1.11)</f>
        <v>3.0846052317983537</v>
      </c>
      <c r="AD88" s="57">
        <f>100-R88+AB88+AC88</f>
        <v>100.30548175049856</v>
      </c>
      <c r="AE88" s="57"/>
      <c r="AF88" s="57">
        <f t="shared" ref="AF88:AO88" si="248">O88*(100-$B88)/100</f>
        <v>58.111147060081947</v>
      </c>
      <c r="AG88" s="57">
        <f t="shared" si="248"/>
        <v>0.48902225796821197</v>
      </c>
      <c r="AH88" s="57">
        <f t="shared" si="248"/>
        <v>15.131673388269553</v>
      </c>
      <c r="AI88" s="57">
        <f t="shared" si="248"/>
        <v>5.6858606928771493</v>
      </c>
      <c r="AJ88" s="57">
        <f t="shared" si="248"/>
        <v>0.12808458595198619</v>
      </c>
      <c r="AK88" s="57">
        <f t="shared" si="248"/>
        <v>2.8240956122972394</v>
      </c>
      <c r="AL88" s="57">
        <f t="shared" si="248"/>
        <v>5.326792970945271</v>
      </c>
      <c r="AM88" s="57">
        <f t="shared" si="248"/>
        <v>3.762283611099225</v>
      </c>
      <c r="AN88" s="57">
        <f t="shared" si="248"/>
        <v>5.2367928796039038</v>
      </c>
      <c r="AO88" s="57">
        <f t="shared" si="248"/>
        <v>0.30424694090550053</v>
      </c>
      <c r="AP88" s="57">
        <f>SUM(AF88:AO88)</f>
        <v>96.999999999999972</v>
      </c>
      <c r="AQ88" s="57"/>
      <c r="AR88" s="84">
        <f t="shared" ref="AR88:BA88" si="249">O88*(100-$B88)/$AD88</f>
        <v>57.934168747256045</v>
      </c>
      <c r="AS88" s="85">
        <f t="shared" si="249"/>
        <v>0.48753293382769813</v>
      </c>
      <c r="AT88" s="85">
        <f t="shared" si="249"/>
        <v>15.085589664888223</v>
      </c>
      <c r="AU88" s="85">
        <f t="shared" si="249"/>
        <v>5.6685443244470424</v>
      </c>
      <c r="AV88" s="85">
        <f t="shared" si="249"/>
        <v>0.12769450255030507</v>
      </c>
      <c r="AW88" s="85">
        <f t="shared" si="249"/>
        <v>2.8154947895289903</v>
      </c>
      <c r="AX88" s="85">
        <f t="shared" si="249"/>
        <v>5.310570148294806</v>
      </c>
      <c r="AY88" s="85">
        <f t="shared" si="249"/>
        <v>3.7508255236314887</v>
      </c>
      <c r="AZ88" s="85">
        <f t="shared" si="249"/>
        <v>5.2208441534930117</v>
      </c>
      <c r="BA88" s="85">
        <f t="shared" si="249"/>
        <v>0.30332035258281215</v>
      </c>
      <c r="BB88" s="85">
        <f>SUM(AR88:BA88)</f>
        <v>96.704585140500413</v>
      </c>
      <c r="BC88" s="85">
        <f>AB88*(100-$B88)/$AD88</f>
        <v>2.9810044913138429</v>
      </c>
      <c r="BD88" s="85">
        <f>AC88*(100-$B88)/$AD88</f>
        <v>2.9829546926327697</v>
      </c>
      <c r="BE88" s="85">
        <f>BB88+BC88+BD88+B88-AU88</f>
        <v>99.999999999999986</v>
      </c>
      <c r="BF88" s="84">
        <f>AR88*100/(100-$B88)</f>
        <v>59.725947162119631</v>
      </c>
      <c r="BG88" s="85">
        <f>AS88*100/(100-$B88)</f>
        <v>0.5026112719873177</v>
      </c>
      <c r="BH88" s="85">
        <f>AT88*100/(100-$B88)</f>
        <v>15.5521542936992</v>
      </c>
      <c r="BI88" s="85">
        <f>BC88*100/(100-$B88)</f>
        <v>3.0732005065091164</v>
      </c>
      <c r="BJ88" s="85">
        <f>BD88*100/(100-$B88)</f>
        <v>3.0752110233327521</v>
      </c>
      <c r="BK88" s="85">
        <f t="shared" ref="BK88:BP88" si="250">AV88*100/(100-$B88)</f>
        <v>0.13164381706217015</v>
      </c>
      <c r="BL88" s="85">
        <f t="shared" si="250"/>
        <v>2.9025719479680316</v>
      </c>
      <c r="BM88" s="85">
        <f t="shared" si="250"/>
        <v>5.4748145858709343</v>
      </c>
      <c r="BN88" s="85">
        <f t="shared" si="250"/>
        <v>3.8668304367334936</v>
      </c>
      <c r="BO88" s="85">
        <f t="shared" si="250"/>
        <v>5.382313560302074</v>
      </c>
      <c r="BP88" s="85">
        <f t="shared" si="250"/>
        <v>0.31270139441527028</v>
      </c>
      <c r="BQ88" s="85">
        <f>SUM(BF88:BP88)</f>
        <v>99.999999999999986</v>
      </c>
      <c r="BR88" s="85"/>
      <c r="BS88" s="82">
        <f>AR88/Weights!$B$5*2+AS88/Weights!$B$7*2+AT88/Weights!$B$8*3+'Data and calc.'!BC88/Weights!$B$20*3+'Data and calc.'!BD88/Weights!$B$10+'Data and calc.'!AV88/Weights!$B$11+'Data and calc.'!AW88/Weights!$B$13+'Data and calc.'!AX88/Weights!$B$14+'Data and calc.'!AY88/Weights!$B$15+AZ88/Weights!$B$16+B88/Weights!$B$19+'Data and calc.'!BA88/Weights!$B$6*5</f>
        <v>2.9415851267541617</v>
      </c>
      <c r="BT88" s="84">
        <f>AR88/Weights!$B$5*8/'Data and calc.'!$BS88</f>
        <v>2.6223565276474754</v>
      </c>
      <c r="BU88" s="85">
        <f>AS88/Weights!$B$7*8/'Data and calc.'!$BS88</f>
        <v>1.6601832525083772E-2</v>
      </c>
      <c r="BV88" s="85">
        <f>AT88/Weights!$B$8*8/'Data and calc.'!$BS88*2</f>
        <v>0.80476799670727783</v>
      </c>
      <c r="BW88" s="85">
        <f>BC88/Weights!$B$20*8/'Data and calc.'!$BS88*2</f>
        <v>0.10153870729739863</v>
      </c>
      <c r="BX88" s="85">
        <f>BD88/Weights!$B$10*8/'Data and calc.'!$BS88</f>
        <v>0.11291840079560511</v>
      </c>
      <c r="BY88" s="85">
        <f>AV88/Weights!$B$11*8/'Data and calc.'!$BS88</f>
        <v>4.8956197648705683E-3</v>
      </c>
      <c r="BZ88" s="85">
        <f>AW88/Weights!$B$13*8/'Data and calc.'!$BS88</f>
        <v>0.18998317608292367</v>
      </c>
      <c r="CA88" s="85">
        <f>AX88/Weights!$B$14*8/'Data and calc.'!$BS88</f>
        <v>0.25755201033896502</v>
      </c>
      <c r="CB88" s="85">
        <f>AY88/Weights!$B$15*8/'Data and calc.'!$BS88*2</f>
        <v>0.32917291458112358</v>
      </c>
      <c r="CC88" s="85">
        <f>AZ88/Weights!$B$16*8/'Data and calc.'!$BS88*2</f>
        <v>0.30147317460524531</v>
      </c>
      <c r="CD88" s="85">
        <f>BA88/Weights!$B$6*8/'Data and calc.'!$BS88*2</f>
        <v>1.1623211324810043E-2</v>
      </c>
      <c r="CE88" s="85">
        <f>B88/Weights!$B$19*8/'Data and calc.'!$BS88*2</f>
        <v>0.9057858875205852</v>
      </c>
      <c r="CF88" s="85">
        <f>SUM(BT88:BW88)*4</f>
        <v>14.181060256708941</v>
      </c>
      <c r="CG88" s="85">
        <f>(16-CF88)/SUM(BT88:BW88)</f>
        <v>0.51306170635035109</v>
      </c>
      <c r="CH88" s="85">
        <f>CE88/SUM(BT88:CD88)</f>
        <v>0.19057607321152509</v>
      </c>
      <c r="CI88" s="85">
        <f>AR88/Weights!$B$5*2+AS88/Weights!$B$7*2+AT88/Weights!$B$8*3+'Data and calc.'!BC88/Weights!$B$20*3+'Data and calc.'!BD88/Weights!$B$10+'Data and calc.'!AV88/Weights!$B$11+'Data and calc.'!AW88/Weights!$B$13+'Data and calc.'!AX88/Weights!$B$14+'Data and calc.'!AY88/Weights!$B$15+AZ88/Weights!$B$16+'Data and calc.'!BA88/Weights!$B$6*5</f>
        <v>2.7750572333320136</v>
      </c>
      <c r="CJ88" s="84">
        <f>AR88/Weights!$B$5*8/'Data and calc.'!$CI88</f>
        <v>2.779721032820802</v>
      </c>
      <c r="CK88" s="85">
        <f>AS88/Weights!$B$7*8/'Data and calc.'!$CI88</f>
        <v>1.7598088805546128E-2</v>
      </c>
      <c r="CL88" s="85">
        <f>AT88/Weights!$B$8*8/'Data and calc.'!$CI88*2</f>
        <v>0.85306116975449164</v>
      </c>
      <c r="CM88" s="85">
        <f>BC88/Weights!$B$20*8/'Data and calc.'!$CI88*2</f>
        <v>0.10763192469988846</v>
      </c>
      <c r="CN88" s="85">
        <f>BD88/Weights!$B$10*8/'Data and calc.'!$CI88</f>
        <v>0.11969450010888373</v>
      </c>
      <c r="CO88" s="85">
        <f>AV88/Weights!$B$11*8/'Data and calc.'!$CI88</f>
        <v>5.189400100874971E-3</v>
      </c>
      <c r="CP88" s="85">
        <f>AW88/Weights!$B$13*8/'Data and calc.'!$CI88</f>
        <v>0.20138384116425287</v>
      </c>
      <c r="CQ88" s="85">
        <f>AX88/Weights!$B$14*8/'Data and calc.'!$CI88</f>
        <v>0.27300740102901205</v>
      </c>
      <c r="CR88" s="85">
        <f>AY88/Weights!$B$15*8/'Data and calc.'!$CI88*2</f>
        <v>0.34892619079409926</v>
      </c>
      <c r="CS88" s="85">
        <f>AZ88/Weights!$B$16*8/'Data and calc.'!$CI88*2</f>
        <v>0.31956422227348363</v>
      </c>
      <c r="CT88" s="85">
        <f>BA88/Weights!$B$6*8/'Data and calc.'!$CI88*2</f>
        <v>1.2320706451567126E-2</v>
      </c>
      <c r="CU88" s="85">
        <f>CJ88*2+CK88*2+CL88*1.5+CM88*1.5+CN88+CO88+CP88+CQ88+CR88*0.5+CS88*0.5+CT88*2.5</f>
        <v>7.9999999999999991</v>
      </c>
      <c r="CV88" s="85">
        <f>SUM(CJ88:CM88)*4</f>
        <v>15.032048864322912</v>
      </c>
      <c r="CW88" s="85">
        <f>(16-CV88)/SUM(CJ88:CM88)</f>
        <v>0.25756998115524365</v>
      </c>
      <c r="CX88" s="113"/>
      <c r="CY88" s="90">
        <f t="shared" ref="CY88" si="251">$CZ$2*G88+$DB$2</f>
        <v>2.7279899424639369E-2</v>
      </c>
      <c r="CZ88" s="91">
        <f>100*CY88/(1+CY88)</f>
        <v>2.6555468903770376</v>
      </c>
      <c r="DA88" s="85">
        <f>CZ88-B88</f>
        <v>-0.34445310962296238</v>
      </c>
      <c r="DB88" s="85">
        <f>ABS(DA88)</f>
        <v>0.34445310962296238</v>
      </c>
      <c r="DC88" s="85">
        <f>DA88^2</f>
        <v>0.11864794472892855</v>
      </c>
      <c r="DD88" s="117"/>
      <c r="DE88" s="97"/>
      <c r="DF88" s="91">
        <f>$DF$2*G88^2 + $DH$2*G88 +$DJ$2</f>
        <v>2.6666054911628621</v>
      </c>
      <c r="DG88" s="85">
        <f>DF88-B88</f>
        <v>-0.33339450883713795</v>
      </c>
      <c r="DH88" s="85">
        <f>ABS(DG88)</f>
        <v>0.33339450883713795</v>
      </c>
      <c r="DI88" s="85">
        <f>DG88^2</f>
        <v>0.11115189852275645</v>
      </c>
      <c r="DK88" s="117"/>
      <c r="DL88" s="99">
        <f>'Eq. 3 coef.'!$B$15+'Eq. 3 coef.'!$B$16*'Data and calc.'!G88^2+'Eq. 3 coef.'!$B$17*'Data and calc.'!G88+'Eq. 3 coef.'!$B$18*'Data and calc.'!BF88+'Eq. 3 coef.'!$B$19*'Data and calc.'!BG88+'Eq. 3 coef.'!$B$20*'Data and calc.'!BH88+'Eq. 3 coef.'!$B$21*'Data and calc.'!BI88+'Eq. 3 coef.'!$B$22*'Data and calc.'!BJ88+'Eq. 3 coef.'!$B$23*'Data and calc.'!BK88+'Eq. 3 coef.'!$B$24*'Data and calc.'!BL88+'Eq. 3 coef.'!$B$25*'Data and calc.'!BM88+'Eq. 3 coef.'!$B$26*'Data and calc.'!BN88+'Eq. 3 coef.'!$B$27*'Data and calc.'!BO88+'Eq. 3 coef.'!$B$28*'Data and calc.'!BP88</f>
        <v>2.8401933366103549</v>
      </c>
      <c r="DM88" s="85">
        <f>DL88-B88</f>
        <v>-0.15980666338964511</v>
      </c>
      <c r="DN88" s="85">
        <f>ABS(DM88)</f>
        <v>0.15980666338964511</v>
      </c>
      <c r="DO88" s="85">
        <f t="shared" si="207"/>
        <v>2.553816966373134E-2</v>
      </c>
      <c r="DP88" s="117"/>
      <c r="DQ88" s="99">
        <f>'Eq. 4 coef.'!$B$15+'Eq. 4 coef.'!$B$16*'Data and calc.'!G88^2+'Eq. 4 coef.'!$B$17*'Data and calc.'!G88+'Eq. 4 coef.'!$B$18*'Data and calc.'!O88+'Eq. 4 coef.'!$B$19*'Data and calc.'!P88+'Eq. 4 coef.'!$B$20*'Data and calc.'!Q88+'Eq. 4 coef.'!$B$21*'Data and calc.'!R88+'Eq. 4 coef.'!$B$22*'Data and calc.'!S88+'Eq. 4 coef.'!$B$23*'Data and calc.'!T88+'Eq. 4 coef.'!$B$24*'Data and calc.'!U88+'Eq. 4 coef.'!$B$25*'Data and calc.'!V88+'Eq. 4 coef.'!$B$26*'Data and calc.'!W88+'Eq. 4 coef.'!$B$27*'Data and calc.'!X88</f>
        <v>2.8008935727689277</v>
      </c>
      <c r="DR88" s="85">
        <f>DQ88-B88</f>
        <v>-0.1991064272310723</v>
      </c>
      <c r="DS88" s="85">
        <f>ABS(DR88)</f>
        <v>0.1991064272310723</v>
      </c>
      <c r="DT88" s="85">
        <f>DR88^2</f>
        <v>3.9643369364722292E-2</v>
      </c>
    </row>
    <row r="89" spans="1:125" x14ac:dyDescent="0.15">
      <c r="A89" s="142" t="s">
        <v>413</v>
      </c>
      <c r="B89" s="73"/>
      <c r="C89" s="73"/>
      <c r="E89" s="71"/>
      <c r="F89" s="126"/>
      <c r="I89" s="126"/>
      <c r="L89" s="73"/>
      <c r="O89" s="76"/>
      <c r="P89" s="73"/>
      <c r="Q89" s="73"/>
      <c r="R89" s="73"/>
      <c r="S89" s="73"/>
      <c r="T89" s="73"/>
      <c r="U89" s="73"/>
      <c r="V89" s="73"/>
      <c r="W89" s="73"/>
      <c r="Y89" s="73"/>
      <c r="Z89" s="73"/>
      <c r="AA89" s="73"/>
      <c r="AR89" s="84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4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T89" s="84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4"/>
      <c r="CK89" s="85"/>
      <c r="CL89" s="85"/>
      <c r="CM89" s="85"/>
      <c r="CN89" s="85"/>
      <c r="CO89" s="85"/>
      <c r="CP89" s="85"/>
      <c r="CQ89" s="85"/>
      <c r="CR89" s="85"/>
      <c r="CS89" s="85"/>
      <c r="CT89" s="85"/>
      <c r="CU89" s="85"/>
      <c r="CV89" s="85"/>
      <c r="CW89" s="85"/>
      <c r="CZ89" s="91"/>
      <c r="DA89" s="85"/>
      <c r="DB89" s="85"/>
      <c r="DC89" s="85"/>
      <c r="DF89" s="91"/>
      <c r="DG89" s="85"/>
      <c r="DH89" s="85"/>
      <c r="DI89" s="85"/>
      <c r="DL89" s="99"/>
      <c r="DM89" s="85"/>
      <c r="DN89" s="85"/>
      <c r="DO89" s="85"/>
      <c r="DR89" s="85"/>
      <c r="DS89" s="85"/>
      <c r="DT89" s="85"/>
    </row>
    <row r="90" spans="1:125" ht="15" x14ac:dyDescent="0.2">
      <c r="A90" s="66" t="s">
        <v>206</v>
      </c>
      <c r="B90" s="73">
        <v>2.69</v>
      </c>
      <c r="C90" s="73">
        <v>7.0000000000000007E-2</v>
      </c>
      <c r="D90" s="126">
        <f>C90*100/B90</f>
        <v>2.6022304832713758</v>
      </c>
      <c r="E90" s="72">
        <f>B90/(100-B90)</f>
        <v>2.7643613194943992E-2</v>
      </c>
      <c r="F90" s="64">
        <f t="shared" ref="F90:F92" si="252">G90^2</f>
        <v>16.086503151725566</v>
      </c>
      <c r="G90" s="73">
        <v>4.0107983185053779</v>
      </c>
      <c r="H90" s="73">
        <v>0.11613143152241152</v>
      </c>
      <c r="I90" s="126">
        <f t="shared" si="106"/>
        <v>2.8954692382958771</v>
      </c>
      <c r="J90" s="70">
        <v>1000</v>
      </c>
      <c r="K90" s="70">
        <v>180</v>
      </c>
      <c r="L90" s="73"/>
      <c r="O90" s="76">
        <v>79.09721503261207</v>
      </c>
      <c r="P90" s="73">
        <v>0</v>
      </c>
      <c r="Q90" s="73">
        <v>11.698933637022465</v>
      </c>
      <c r="R90" s="73">
        <v>0</v>
      </c>
      <c r="S90" s="73">
        <v>0</v>
      </c>
      <c r="T90" s="73">
        <v>0</v>
      </c>
      <c r="U90" s="73">
        <v>0</v>
      </c>
      <c r="V90" s="73">
        <v>4.4414535666218038</v>
      </c>
      <c r="W90" s="73">
        <v>4.7623977637436568</v>
      </c>
      <c r="X90" s="70">
        <v>0</v>
      </c>
      <c r="Y90" s="73">
        <f>SUM(O90:X90)</f>
        <v>100</v>
      </c>
      <c r="Z90" s="73">
        <v>9.2038513303654597</v>
      </c>
      <c r="AA90" s="73">
        <v>0.27411345485364608</v>
      </c>
      <c r="AB90" s="59">
        <f>(R90-AC90)*1.11</f>
        <v>0</v>
      </c>
      <c r="AC90" s="60">
        <f>R90*1.11/(AA90+1.11)</f>
        <v>0</v>
      </c>
      <c r="AD90" s="57">
        <f>100-R90+AB90+AC90</f>
        <v>100</v>
      </c>
      <c r="AE90" s="57"/>
      <c r="AF90" s="57">
        <f t="shared" ref="AF90:AO92" si="253">O90*(100-$B90)/100</f>
        <v>76.969499948234812</v>
      </c>
      <c r="AG90" s="57">
        <f t="shared" si="253"/>
        <v>0</v>
      </c>
      <c r="AH90" s="57">
        <f t="shared" si="253"/>
        <v>11.384232322186561</v>
      </c>
      <c r="AI90" s="57">
        <f t="shared" si="253"/>
        <v>0</v>
      </c>
      <c r="AJ90" s="57">
        <f t="shared" si="253"/>
        <v>0</v>
      </c>
      <c r="AK90" s="57">
        <f t="shared" si="253"/>
        <v>0</v>
      </c>
      <c r="AL90" s="57">
        <f t="shared" si="253"/>
        <v>0</v>
      </c>
      <c r="AM90" s="57">
        <f t="shared" si="253"/>
        <v>4.3219784656796776</v>
      </c>
      <c r="AN90" s="57">
        <f t="shared" si="253"/>
        <v>4.6342892638989523</v>
      </c>
      <c r="AO90" s="57">
        <f t="shared" si="253"/>
        <v>0</v>
      </c>
      <c r="AP90" s="57">
        <f>SUM(AF90:AO90)</f>
        <v>97.31</v>
      </c>
      <c r="AQ90" s="57"/>
      <c r="AR90" s="84">
        <f t="shared" ref="AR90:BA92" si="254">O90*(100-$B90)/$AD90</f>
        <v>76.969499948234812</v>
      </c>
      <c r="AS90" s="85">
        <f t="shared" si="254"/>
        <v>0</v>
      </c>
      <c r="AT90" s="85">
        <f t="shared" si="254"/>
        <v>11.384232322186561</v>
      </c>
      <c r="AU90" s="85">
        <f t="shared" si="254"/>
        <v>0</v>
      </c>
      <c r="AV90" s="85">
        <f t="shared" si="254"/>
        <v>0</v>
      </c>
      <c r="AW90" s="85">
        <f t="shared" si="254"/>
        <v>0</v>
      </c>
      <c r="AX90" s="85">
        <f t="shared" si="254"/>
        <v>0</v>
      </c>
      <c r="AY90" s="85">
        <f t="shared" si="254"/>
        <v>4.3219784656796776</v>
      </c>
      <c r="AZ90" s="85">
        <f t="shared" si="254"/>
        <v>4.6342892638989523</v>
      </c>
      <c r="BA90" s="85">
        <f t="shared" si="254"/>
        <v>0</v>
      </c>
      <c r="BB90" s="85">
        <f>SUM(AR90:BA90)</f>
        <v>97.31</v>
      </c>
      <c r="BC90" s="85">
        <f t="shared" ref="BC90:BD92" si="255">AB90*(100-$B90)/$AD90</f>
        <v>0</v>
      </c>
      <c r="BD90" s="85">
        <f t="shared" si="255"/>
        <v>0</v>
      </c>
      <c r="BE90" s="85">
        <f>BB90+BC90+BD90+B90-AU90</f>
        <v>100</v>
      </c>
      <c r="BF90" s="84">
        <f t="shared" ref="BF90:BH92" si="256">AR90*100/(100-$B90)</f>
        <v>79.097215032612084</v>
      </c>
      <c r="BG90" s="85">
        <f t="shared" si="256"/>
        <v>0</v>
      </c>
      <c r="BH90" s="85">
        <f t="shared" si="256"/>
        <v>11.698933637022465</v>
      </c>
      <c r="BI90" s="85">
        <f t="shared" ref="BI90:BJ92" si="257">BC90*100/(100-$B90)</f>
        <v>0</v>
      </c>
      <c r="BJ90" s="85">
        <f t="shared" si="257"/>
        <v>0</v>
      </c>
      <c r="BK90" s="85">
        <f t="shared" ref="BK90:BP92" si="258">AV90*100/(100-$B90)</f>
        <v>0</v>
      </c>
      <c r="BL90" s="85">
        <f t="shared" si="258"/>
        <v>0</v>
      </c>
      <c r="BM90" s="85">
        <f t="shared" si="258"/>
        <v>0</v>
      </c>
      <c r="BN90" s="85">
        <f t="shared" si="258"/>
        <v>4.4414535666218038</v>
      </c>
      <c r="BO90" s="85">
        <f t="shared" si="258"/>
        <v>4.7623977637436568</v>
      </c>
      <c r="BP90" s="85">
        <f t="shared" si="258"/>
        <v>0</v>
      </c>
      <c r="BQ90" s="85">
        <f>SUM(BF90:BP90)</f>
        <v>100</v>
      </c>
      <c r="BR90" s="85"/>
      <c r="BS90" s="82">
        <f>AR90/Weights!$B$5*2+AS90/Weights!$B$7*2+AT90/Weights!$B$8*3+'Data and calc.'!BC90/Weights!$B$20*3+'Data and calc.'!BD90/Weights!$B$10+'Data and calc.'!AV90/Weights!$B$11+'Data and calc.'!AW90/Weights!$B$13+'Data and calc.'!AX90/Weights!$B$14+'Data and calc.'!AY90/Weights!$B$15+AZ90/Weights!$B$16+B90/Weights!$B$19+'Data and calc.'!BA90/Weights!$B$6*5</f>
        <v>3.1653192732769391</v>
      </c>
      <c r="BT90" s="84">
        <f>AR90/Weights!$B$5*8/'Data and calc.'!$BS90</f>
        <v>3.2377217345683991</v>
      </c>
      <c r="BU90" s="85">
        <f>AS90/Weights!$B$7*8/'Data and calc.'!$BS90</f>
        <v>0</v>
      </c>
      <c r="BV90" s="85">
        <f>AT90/Weights!$B$8*8/'Data and calc.'!$BS90*2</f>
        <v>0.56438577061529116</v>
      </c>
      <c r="BW90" s="85">
        <f>BC90/Weights!$B$20*8/'Data and calc.'!$BS90*2</f>
        <v>0</v>
      </c>
      <c r="BX90" s="85">
        <f>BD90/Weights!$B$10*8/'Data and calc.'!$BS90</f>
        <v>0</v>
      </c>
      <c r="BY90" s="85">
        <f>AV90/Weights!$B$11*8/'Data and calc.'!$BS90</f>
        <v>0</v>
      </c>
      <c r="BZ90" s="85">
        <f>AW90/Weights!$B$13*8/'Data and calc.'!$BS90</f>
        <v>0</v>
      </c>
      <c r="CA90" s="85">
        <f>AX90/Weights!$B$14*8/'Data and calc.'!$BS90</f>
        <v>0</v>
      </c>
      <c r="CB90" s="85">
        <f>AY90/Weights!$B$15*8/'Data and calc.'!$BS90*2</f>
        <v>0.35248750584073829</v>
      </c>
      <c r="CC90" s="85">
        <f>AZ90/Weights!$B$16*8/'Data and calc.'!$BS90*2</f>
        <v>0.24868808716911422</v>
      </c>
      <c r="CD90" s="85">
        <f>BA90/Weights!$B$6*8/'Data and calc.'!$BS90*2</f>
        <v>0</v>
      </c>
      <c r="CE90" s="85">
        <f>B90/Weights!$B$19*8/'Data and calc.'!$BS90*2</f>
        <v>0.75478015687067934</v>
      </c>
      <c r="CF90" s="85">
        <f>SUM(BT90:BW90)*4</f>
        <v>15.208430020734761</v>
      </c>
      <c r="CG90" s="85">
        <f>(16-CF90)/SUM(BT90:BW90)</f>
        <v>0.20819242438201277</v>
      </c>
      <c r="CH90" s="85">
        <f>CE90/SUM(BT90:CD90)</f>
        <v>0.17141304341306823</v>
      </c>
      <c r="CI90" s="85">
        <f>AR90/Weights!$B$5*2+AS90/Weights!$B$7*2+AT90/Weights!$B$8*3+'Data and calc.'!BC90/Weights!$B$20*3+'Data and calc.'!BD90/Weights!$B$10+'Data and calc.'!AV90/Weights!$B$11+'Data and calc.'!AW90/Weights!$B$13+'Data and calc.'!AX90/Weights!$B$14+'Data and calc.'!AY90/Weights!$B$15+AZ90/Weights!$B$16+'Data and calc.'!BA90/Weights!$B$6*5</f>
        <v>3.0159992621750797</v>
      </c>
      <c r="CJ90" s="84">
        <f>AR90/Weights!$B$5*8/'Data and calc.'!$CI90</f>
        <v>3.3980190699867854</v>
      </c>
      <c r="CK90" s="85">
        <f>AS90/Weights!$B$7*8/'Data and calc.'!$CI90</f>
        <v>0</v>
      </c>
      <c r="CL90" s="85">
        <f>AT90/Weights!$B$8*8/'Data and calc.'!$CI90*2</f>
        <v>0.59232811482966929</v>
      </c>
      <c r="CM90" s="85">
        <f>BC90/Weights!$B$20*8/'Data and calc.'!$CI90*2</f>
        <v>0</v>
      </c>
      <c r="CN90" s="85">
        <f>BD90/Weights!$B$10*8/'Data and calc.'!$CI90</f>
        <v>0</v>
      </c>
      <c r="CO90" s="85">
        <f>AV90/Weights!$B$11*8/'Data and calc.'!$CI90</f>
        <v>0</v>
      </c>
      <c r="CP90" s="85">
        <f>AW90/Weights!$B$13*8/'Data and calc.'!$CI90</f>
        <v>0</v>
      </c>
      <c r="CQ90" s="85">
        <f>AX90/Weights!$B$14*8/'Data and calc.'!$CI90</f>
        <v>0</v>
      </c>
      <c r="CR90" s="85">
        <f>AY90/Weights!$B$15*8/'Data and calc.'!$CI90*2</f>
        <v>0.36993891537704154</v>
      </c>
      <c r="CS90" s="85">
        <f>AZ90/Weights!$B$16*8/'Data and calc.'!$CI90*2</f>
        <v>0.26100046018680917</v>
      </c>
      <c r="CT90" s="85">
        <f>BA90/Weights!$B$6*8/'Data and calc.'!$CI90*2</f>
        <v>0</v>
      </c>
      <c r="CU90" s="85">
        <f>CJ90*2+CK90*2+CL90*1.5+CM90*1.5+CN90+CO90+CP90+CQ90+CR90*0.5+CS90*0.5+CT90*2.5</f>
        <v>8</v>
      </c>
      <c r="CV90" s="85">
        <f>SUM(CJ90:CM90)*4</f>
        <v>15.961388739265818</v>
      </c>
      <c r="CW90" s="85">
        <f>(16-CV90)/SUM(CJ90:CM90)</f>
        <v>9.6761657434472608E-3</v>
      </c>
      <c r="CX90" s="113"/>
      <c r="CY90" s="90">
        <f t="shared" ref="CY90:CY92" si="259">$CZ$2*G90+$DB$2</f>
        <v>3.0862973522331305E-2</v>
      </c>
      <c r="CZ90" s="91">
        <f>100*CY90/(1+CY90)</f>
        <v>2.9938967947288222</v>
      </c>
      <c r="DA90" s="85">
        <f>CZ90-B90</f>
        <v>0.30389679472882225</v>
      </c>
      <c r="DB90" s="85">
        <f>ABS(DA90)</f>
        <v>0.30389679472882225</v>
      </c>
      <c r="DC90" s="85">
        <f>DA90^2</f>
        <v>9.2353261846451928E-2</v>
      </c>
      <c r="DD90" s="117"/>
      <c r="DE90" s="97"/>
      <c r="DF90" s="91">
        <f t="shared" ref="DF90:DF92" si="260">$DF$2*G90^2 + $DH$2*G90 +$DJ$2</f>
        <v>3.0065635361296037</v>
      </c>
      <c r="DG90" s="85">
        <f>DF90-B90</f>
        <v>0.31656353612960375</v>
      </c>
      <c r="DH90" s="85">
        <f>ABS(DG90)</f>
        <v>0.31656353612960375</v>
      </c>
      <c r="DI90" s="85">
        <f>DG90^2</f>
        <v>0.10021247240687894</v>
      </c>
      <c r="DK90" s="117"/>
      <c r="DL90" s="99">
        <f>'Eq. 3 coef.'!$B$15+'Eq. 3 coef.'!$B$16*'Data and calc.'!G90^2+'Eq. 3 coef.'!$B$17*'Data and calc.'!G90+'Eq. 3 coef.'!$B$18*'Data and calc.'!BF90+'Eq. 3 coef.'!$B$19*'Data and calc.'!BG90+'Eq. 3 coef.'!$B$20*'Data and calc.'!BH90+'Eq. 3 coef.'!$B$21*'Data and calc.'!BI90+'Eq. 3 coef.'!$B$22*'Data and calc.'!BJ90+'Eq. 3 coef.'!$B$23*'Data and calc.'!BK90+'Eq. 3 coef.'!$B$24*'Data and calc.'!BL90+'Eq. 3 coef.'!$B$25*'Data and calc.'!BM90+'Eq. 3 coef.'!$B$26*'Data and calc.'!BN90+'Eq. 3 coef.'!$B$27*'Data and calc.'!BO90+'Eq. 3 coef.'!$B$28*'Data and calc.'!BP90</f>
        <v>2.6462554541722056</v>
      </c>
      <c r="DM90" s="85">
        <f>DL90-B90</f>
        <v>-4.3744545827794301E-2</v>
      </c>
      <c r="DN90" s="85">
        <f>ABS(DM90)</f>
        <v>4.3744545827794301E-2</v>
      </c>
      <c r="DO90" s="85">
        <f>DM90^2</f>
        <v>1.9135852896799959E-3</v>
      </c>
      <c r="DP90" s="117"/>
      <c r="DQ90" s="99">
        <f>'Eq. 4 coef.'!$B$15+'Eq. 4 coef.'!$B$16*'Data and calc.'!G90^2+'Eq. 4 coef.'!$B$17*'Data and calc.'!G90+'Eq. 4 coef.'!$B$18*'Data and calc.'!O90+'Eq. 4 coef.'!$B$19*'Data and calc.'!P90+'Eq. 4 coef.'!$B$20*'Data and calc.'!Q90+'Eq. 4 coef.'!$B$21*'Data and calc.'!R90+'Eq. 4 coef.'!$B$22*'Data and calc.'!S90+'Eq. 4 coef.'!$B$23*'Data and calc.'!T90+'Eq. 4 coef.'!$B$24*'Data and calc.'!U90+'Eq. 4 coef.'!$B$25*'Data and calc.'!V90+'Eq. 4 coef.'!$B$26*'Data and calc.'!W90+'Eq. 4 coef.'!$B$27*'Data and calc.'!X90</f>
        <v>2.6845387282737647</v>
      </c>
      <c r="DR90" s="85">
        <f>DQ90-B90</f>
        <v>-5.4612717262352284E-3</v>
      </c>
      <c r="DS90" s="85">
        <f>ABS(DR90)</f>
        <v>5.4612717262352284E-3</v>
      </c>
      <c r="DT90" s="85">
        <f>DR90^2</f>
        <v>2.9825488867776311E-5</v>
      </c>
    </row>
    <row r="91" spans="1:125" ht="15" x14ac:dyDescent="0.2">
      <c r="A91" s="67" t="s">
        <v>207</v>
      </c>
      <c r="B91" s="73">
        <v>3.63</v>
      </c>
      <c r="C91" s="73">
        <v>7.0000000000000007E-2</v>
      </c>
      <c r="D91" s="126">
        <f>C91*100/B91</f>
        <v>1.9283746556473833</v>
      </c>
      <c r="E91" s="72">
        <f>B91/(100-B91)</f>
        <v>3.7667323855971775E-2</v>
      </c>
      <c r="F91" s="64">
        <f t="shared" si="252"/>
        <v>26.018532103519547</v>
      </c>
      <c r="G91" s="73">
        <v>5.1008364121504179</v>
      </c>
      <c r="H91" s="73">
        <v>0.11465276221762305</v>
      </c>
      <c r="I91" s="126">
        <f>H91*100/G91</f>
        <v>2.2477247446029658</v>
      </c>
      <c r="J91" s="70">
        <v>1000</v>
      </c>
      <c r="K91" s="70">
        <v>180</v>
      </c>
      <c r="L91" s="73"/>
      <c r="O91" s="76">
        <v>79.953527672158856</v>
      </c>
      <c r="P91" s="73">
        <v>0</v>
      </c>
      <c r="Q91" s="73">
        <v>11.406844106463879</v>
      </c>
      <c r="R91" s="73">
        <v>0</v>
      </c>
      <c r="S91" s="73">
        <v>0</v>
      </c>
      <c r="T91" s="73">
        <v>0</v>
      </c>
      <c r="U91" s="73">
        <v>0</v>
      </c>
      <c r="V91" s="73">
        <v>4.0768905787917191</v>
      </c>
      <c r="W91" s="73">
        <v>4.5627376425855513</v>
      </c>
      <c r="X91" s="70">
        <v>0</v>
      </c>
      <c r="Y91" s="73">
        <f>SUM(O91:X91)</f>
        <v>100</v>
      </c>
      <c r="Z91" s="73">
        <v>8.6396282213772704</v>
      </c>
      <c r="AA91" s="73">
        <v>0.27411345485364608</v>
      </c>
      <c r="AB91" s="59">
        <f>(R91-AC91)*1.11</f>
        <v>0</v>
      </c>
      <c r="AC91" s="60">
        <f>R91*1.11/(AA91+1.11)</f>
        <v>0</v>
      </c>
      <c r="AD91" s="57">
        <f>100-R91+AB91+AC91</f>
        <v>100</v>
      </c>
      <c r="AE91" s="57"/>
      <c r="AF91" s="57">
        <f t="shared" si="253"/>
        <v>77.051214617659483</v>
      </c>
      <c r="AG91" s="57">
        <f t="shared" si="253"/>
        <v>0</v>
      </c>
      <c r="AH91" s="57">
        <f t="shared" si="253"/>
        <v>10.99277566539924</v>
      </c>
      <c r="AI91" s="57">
        <f t="shared" si="253"/>
        <v>0</v>
      </c>
      <c r="AJ91" s="57">
        <f t="shared" si="253"/>
        <v>0</v>
      </c>
      <c r="AK91" s="57">
        <f t="shared" si="253"/>
        <v>0</v>
      </c>
      <c r="AL91" s="57">
        <f t="shared" si="253"/>
        <v>0</v>
      </c>
      <c r="AM91" s="57">
        <f t="shared" si="253"/>
        <v>3.92889945078158</v>
      </c>
      <c r="AN91" s="57">
        <f t="shared" si="253"/>
        <v>4.3971102661596966</v>
      </c>
      <c r="AO91" s="57">
        <f t="shared" si="253"/>
        <v>0</v>
      </c>
      <c r="AP91" s="57">
        <f>SUM(AF91:AO91)</f>
        <v>96.37</v>
      </c>
      <c r="AQ91" s="57"/>
      <c r="AR91" s="84">
        <f t="shared" si="254"/>
        <v>77.051214617659483</v>
      </c>
      <c r="AS91" s="85">
        <f t="shared" si="254"/>
        <v>0</v>
      </c>
      <c r="AT91" s="85">
        <f t="shared" si="254"/>
        <v>10.99277566539924</v>
      </c>
      <c r="AU91" s="85">
        <f t="shared" si="254"/>
        <v>0</v>
      </c>
      <c r="AV91" s="85">
        <f t="shared" si="254"/>
        <v>0</v>
      </c>
      <c r="AW91" s="85">
        <f t="shared" si="254"/>
        <v>0</v>
      </c>
      <c r="AX91" s="85">
        <f t="shared" si="254"/>
        <v>0</v>
      </c>
      <c r="AY91" s="85">
        <f t="shared" si="254"/>
        <v>3.92889945078158</v>
      </c>
      <c r="AZ91" s="85">
        <f t="shared" si="254"/>
        <v>4.3971102661596966</v>
      </c>
      <c r="BA91" s="85">
        <f t="shared" si="254"/>
        <v>0</v>
      </c>
      <c r="BB91" s="85">
        <f>SUM(AR91:BA91)</f>
        <v>96.37</v>
      </c>
      <c r="BC91" s="85">
        <f t="shared" si="255"/>
        <v>0</v>
      </c>
      <c r="BD91" s="85">
        <f t="shared" si="255"/>
        <v>0</v>
      </c>
      <c r="BE91" s="85">
        <f>BB91+BC91+BD91+B91-AU91</f>
        <v>100</v>
      </c>
      <c r="BF91" s="84">
        <f t="shared" si="256"/>
        <v>79.953527672158842</v>
      </c>
      <c r="BG91" s="85">
        <f t="shared" si="256"/>
        <v>0</v>
      </c>
      <c r="BH91" s="85">
        <f t="shared" si="256"/>
        <v>11.406844106463879</v>
      </c>
      <c r="BI91" s="85">
        <f t="shared" si="257"/>
        <v>0</v>
      </c>
      <c r="BJ91" s="85">
        <f t="shared" si="257"/>
        <v>0</v>
      </c>
      <c r="BK91" s="85">
        <f t="shared" si="258"/>
        <v>0</v>
      </c>
      <c r="BL91" s="85">
        <f t="shared" si="258"/>
        <v>0</v>
      </c>
      <c r="BM91" s="85">
        <f t="shared" si="258"/>
        <v>0</v>
      </c>
      <c r="BN91" s="85">
        <f t="shared" si="258"/>
        <v>4.0768905787917191</v>
      </c>
      <c r="BO91" s="85">
        <f t="shared" si="258"/>
        <v>4.5627376425855521</v>
      </c>
      <c r="BP91" s="85">
        <f t="shared" si="258"/>
        <v>0</v>
      </c>
      <c r="BQ91" s="85">
        <f>SUM(BF91:BP91)</f>
        <v>99.999999999999986</v>
      </c>
      <c r="BR91" s="85"/>
      <c r="BS91" s="82">
        <f>AR91/Weights!$B$5*2+AS91/Weights!$B$7*2+AT91/Weights!$B$8*3+'Data and calc.'!BC91/Weights!$B$20*3+'Data and calc.'!BD91/Weights!$B$10+'Data and calc.'!AV91/Weights!$B$11+'Data and calc.'!AW91/Weights!$B$13+'Data and calc.'!AX91/Weights!$B$14+'Data and calc.'!AY91/Weights!$B$15+AZ91/Weights!$B$16+B91/Weights!$B$19+'Data and calc.'!BA91/Weights!$B$6*5</f>
        <v>3.1998400127179449</v>
      </c>
      <c r="BT91" s="84">
        <f>AR91/Weights!$B$5*8/'Data and calc.'!$BS91</f>
        <v>3.2061925613221844</v>
      </c>
      <c r="BU91" s="85">
        <f>AS91/Weights!$B$7*8/'Data and calc.'!$BS91</f>
        <v>0</v>
      </c>
      <c r="BV91" s="85">
        <f>AT91/Weights!$B$8*8/'Data and calc.'!$BS91*2</f>
        <v>0.53909949910945199</v>
      </c>
      <c r="BW91" s="85">
        <f>BC91/Weights!$B$20*8/'Data and calc.'!$BS91*2</f>
        <v>0</v>
      </c>
      <c r="BX91" s="85">
        <f>BD91/Weights!$B$10*8/'Data and calc.'!$BS91</f>
        <v>0</v>
      </c>
      <c r="BY91" s="85">
        <f>AV91/Weights!$B$11*8/'Data and calc.'!$BS91</f>
        <v>0</v>
      </c>
      <c r="BZ91" s="85">
        <f>AW91/Weights!$B$13*8/'Data and calc.'!$BS91</f>
        <v>0</v>
      </c>
      <c r="CA91" s="85">
        <f>AX91/Weights!$B$14*8/'Data and calc.'!$BS91</f>
        <v>0</v>
      </c>
      <c r="CB91" s="85">
        <f>AY91/Weights!$B$15*8/'Data and calc.'!$BS91*2</f>
        <v>0.31697229244577757</v>
      </c>
      <c r="CC91" s="85">
        <f>AZ91/Weights!$B$16*8/'Data and calc.'!$BS91*2</f>
        <v>0.23341483653105308</v>
      </c>
      <c r="CD91" s="85">
        <f>BA91/Weights!$B$6*8/'Data and calc.'!$BS91*2</f>
        <v>0</v>
      </c>
      <c r="CE91" s="85">
        <f>B91/Weights!$B$19*8/'Data and calc.'!$BS91*2</f>
        <v>1.007544128406076</v>
      </c>
      <c r="CF91" s="85">
        <f>SUM(BT91:BW91)*4</f>
        <v>14.981168241726547</v>
      </c>
      <c r="CG91" s="85">
        <f>(16-CF91)/SUM(BT91:BW91)</f>
        <v>0.27202998907274412</v>
      </c>
      <c r="CH91" s="85">
        <f>CE91/SUM(BT91:CD91)</f>
        <v>0.23454827140962986</v>
      </c>
      <c r="CI91" s="85">
        <f>AR91/Weights!$B$5*2+AS91/Weights!$B$7*2+AT91/Weights!$B$8*3+'Data and calc.'!BC91/Weights!$B$20*3+'Data and calc.'!BD91/Weights!$B$10+'Data and calc.'!AV91/Weights!$B$11+'Data and calc.'!AW91/Weights!$B$13+'Data and calc.'!AX91/Weights!$B$14+'Data and calc.'!AY91/Weights!$B$15+AZ91/Weights!$B$16+'Data and calc.'!BA91/Weights!$B$6*5</f>
        <v>2.9983412616771457</v>
      </c>
      <c r="CJ91" s="84">
        <f>AR91/Weights!$B$5*8/'Data and calc.'!$CI91</f>
        <v>3.4216596280500564</v>
      </c>
      <c r="CK91" s="85">
        <f>AS91/Weights!$B$7*8/'Data and calc.'!$CI91</f>
        <v>0</v>
      </c>
      <c r="CL91" s="85">
        <f>AT91/Weights!$B$8*8/'Data and calc.'!$CI91*2</f>
        <v>0.57532882268435193</v>
      </c>
      <c r="CM91" s="85">
        <f>BC91/Weights!$B$20*8/'Data and calc.'!$CI91*2</f>
        <v>0</v>
      </c>
      <c r="CN91" s="85">
        <f>BD91/Weights!$B$10*8/'Data and calc.'!$CI91</f>
        <v>0</v>
      </c>
      <c r="CO91" s="85">
        <f>AV91/Weights!$B$11*8/'Data and calc.'!$CI91</f>
        <v>0</v>
      </c>
      <c r="CP91" s="85">
        <f>AW91/Weights!$B$13*8/'Data and calc.'!$CI91</f>
        <v>0</v>
      </c>
      <c r="CQ91" s="85">
        <f>AX91/Weights!$B$14*8/'Data and calc.'!$CI91</f>
        <v>0</v>
      </c>
      <c r="CR91" s="85">
        <f>AY91/Weights!$B$15*8/'Data and calc.'!$CI91*2</f>
        <v>0.33827391073009433</v>
      </c>
      <c r="CS91" s="85">
        <f>AZ91/Weights!$B$16*8/'Data and calc.'!$CI91*2</f>
        <v>0.24910110901662444</v>
      </c>
      <c r="CT91" s="85">
        <f>BA91/Weights!$B$6*8/'Data and calc.'!$CI91*2</f>
        <v>0</v>
      </c>
      <c r="CU91" s="85">
        <f>CJ91*2+CK91*2+CL91*1.5+CM91*1.5+CN91+CO91+CP91+CQ91+CR91*0.5+CS91*0.5+CT91*2.5</f>
        <v>8</v>
      </c>
      <c r="CV91" s="85">
        <f>SUM(CJ91:CM91)*4</f>
        <v>15.987953802937634</v>
      </c>
      <c r="CW91" s="85">
        <f>(16-CV91)/SUM(CJ91:CM91)</f>
        <v>3.0138183311870293E-3</v>
      </c>
      <c r="CX91" s="113"/>
      <c r="CY91" s="90">
        <f t="shared" si="259"/>
        <v>4.0248201508615099E-2</v>
      </c>
      <c r="CZ91" s="91">
        <f>100*CY91/(1+CY91)</f>
        <v>3.8690959955754147</v>
      </c>
      <c r="DA91" s="85">
        <f>CZ91-B91</f>
        <v>0.23909599557541483</v>
      </c>
      <c r="DB91" s="85">
        <f>ABS(DA91)</f>
        <v>0.23909599557541483</v>
      </c>
      <c r="DC91" s="85">
        <f>DA91^2</f>
        <v>5.7166895100198789E-2</v>
      </c>
      <c r="DD91" s="117"/>
      <c r="DE91" s="97"/>
      <c r="DF91" s="91">
        <f t="shared" si="260"/>
        <v>3.882887480306104</v>
      </c>
      <c r="DG91" s="85">
        <f>DF91-B91</f>
        <v>0.25288748030610408</v>
      </c>
      <c r="DH91" s="85">
        <f>ABS(DG91)</f>
        <v>0.25288748030610408</v>
      </c>
      <c r="DI91" s="85">
        <f>DG91^2</f>
        <v>6.3952077695570181E-2</v>
      </c>
      <c r="DK91" s="117"/>
      <c r="DL91" s="99">
        <f>'Eq. 3 coef.'!$B$15+'Eq. 3 coef.'!$B$16*'Data and calc.'!G91^2+'Eq. 3 coef.'!$B$17*'Data and calc.'!G91+'Eq. 3 coef.'!$B$18*'Data and calc.'!BF91+'Eq. 3 coef.'!$B$19*'Data and calc.'!BG91+'Eq. 3 coef.'!$B$20*'Data and calc.'!BH91+'Eq. 3 coef.'!$B$21*'Data and calc.'!BI91+'Eq. 3 coef.'!$B$22*'Data and calc.'!BJ91+'Eq. 3 coef.'!$B$23*'Data and calc.'!BK91+'Eq. 3 coef.'!$B$24*'Data and calc.'!BL91+'Eq. 3 coef.'!$B$25*'Data and calc.'!BM91+'Eq. 3 coef.'!$B$26*'Data and calc.'!BN91+'Eq. 3 coef.'!$B$27*'Data and calc.'!BO91+'Eq. 3 coef.'!$B$28*'Data and calc.'!BP91</f>
        <v>3.5059768571372842</v>
      </c>
      <c r="DM91" s="85">
        <f>DL91-B91</f>
        <v>-0.12402314286271565</v>
      </c>
      <c r="DN91" s="85">
        <f>ABS(DM91)</f>
        <v>0.12402314286271565</v>
      </c>
      <c r="DO91" s="85">
        <f>DM91^2</f>
        <v>1.5381739965545576E-2</v>
      </c>
      <c r="DP91" s="117"/>
      <c r="DQ91" s="99">
        <f>'Eq. 4 coef.'!$B$15+'Eq. 4 coef.'!$B$16*'Data and calc.'!G91^2+'Eq. 4 coef.'!$B$17*'Data and calc.'!G91+'Eq. 4 coef.'!$B$18*'Data and calc.'!O91+'Eq. 4 coef.'!$B$19*'Data and calc.'!P91+'Eq. 4 coef.'!$B$20*'Data and calc.'!Q91+'Eq. 4 coef.'!$B$21*'Data and calc.'!R91+'Eq. 4 coef.'!$B$22*'Data and calc.'!S91+'Eq. 4 coef.'!$B$23*'Data and calc.'!T91+'Eq. 4 coef.'!$B$24*'Data and calc.'!U91+'Eq. 4 coef.'!$B$25*'Data and calc.'!V91+'Eq. 4 coef.'!$B$26*'Data and calc.'!W91+'Eq. 4 coef.'!$B$27*'Data and calc.'!X91</f>
        <v>3.5280969716368418</v>
      </c>
      <c r="DR91" s="85">
        <f>DQ91-B91</f>
        <v>-0.10190302836315812</v>
      </c>
      <c r="DS91" s="85">
        <f>ABS(DR91)</f>
        <v>0.10190302836315812</v>
      </c>
      <c r="DT91" s="85">
        <f>DR91^2</f>
        <v>1.0384227189582609E-2</v>
      </c>
    </row>
    <row r="92" spans="1:125" ht="15" x14ac:dyDescent="0.2">
      <c r="A92" s="67" t="s">
        <v>208</v>
      </c>
      <c r="B92" s="73">
        <v>5.24</v>
      </c>
      <c r="C92" s="73">
        <v>0.15</v>
      </c>
      <c r="D92" s="126">
        <f>C92*100/B92</f>
        <v>2.8625954198473282</v>
      </c>
      <c r="E92" s="72">
        <f>B92/(100-B92)</f>
        <v>5.5297593921485859E-2</v>
      </c>
      <c r="F92" s="64">
        <f t="shared" si="252"/>
        <v>60.455718411263945</v>
      </c>
      <c r="G92" s="73">
        <v>7.7753275436642504</v>
      </c>
      <c r="H92" s="73">
        <v>9.9511343734463187E-2</v>
      </c>
      <c r="I92" s="126">
        <f>H92*100/G92</f>
        <v>1.279834748769527</v>
      </c>
      <c r="J92" s="70">
        <v>1000</v>
      </c>
      <c r="K92" s="70">
        <v>180</v>
      </c>
      <c r="L92" s="73"/>
      <c r="O92" s="76">
        <v>80.357142857142847</v>
      </c>
      <c r="P92" s="73">
        <v>0</v>
      </c>
      <c r="Q92" s="73">
        <v>11.160714285714286</v>
      </c>
      <c r="R92" s="73">
        <v>0</v>
      </c>
      <c r="S92" s="73">
        <v>0</v>
      </c>
      <c r="T92" s="73">
        <v>0</v>
      </c>
      <c r="U92" s="73">
        <v>0</v>
      </c>
      <c r="V92" s="73">
        <v>4.0710034013605441</v>
      </c>
      <c r="W92" s="73">
        <v>4.4111394557823136</v>
      </c>
      <c r="X92" s="70">
        <v>0</v>
      </c>
      <c r="Y92" s="73">
        <f>SUM(O92:X92)</f>
        <v>100</v>
      </c>
      <c r="Z92" s="73">
        <v>8.4821428571428577</v>
      </c>
      <c r="AA92" s="73">
        <v>0.27411345485364608</v>
      </c>
      <c r="AB92" s="59">
        <f>(R92-AC92)*1.11</f>
        <v>0</v>
      </c>
      <c r="AC92" s="60">
        <f>R92*1.11/(AA92+1.11)</f>
        <v>0</v>
      </c>
      <c r="AD92" s="57">
        <f>100-R92+AB92+AC92</f>
        <v>100</v>
      </c>
      <c r="AE92" s="57"/>
      <c r="AF92" s="57">
        <f t="shared" si="253"/>
        <v>76.146428571428572</v>
      </c>
      <c r="AG92" s="57">
        <f t="shared" si="253"/>
        <v>0</v>
      </c>
      <c r="AH92" s="57">
        <f t="shared" si="253"/>
        <v>10.575892857142858</v>
      </c>
      <c r="AI92" s="57">
        <f t="shared" si="253"/>
        <v>0</v>
      </c>
      <c r="AJ92" s="57">
        <f t="shared" si="253"/>
        <v>0</v>
      </c>
      <c r="AK92" s="57">
        <f t="shared" si="253"/>
        <v>0</v>
      </c>
      <c r="AL92" s="57">
        <f t="shared" si="253"/>
        <v>0</v>
      </c>
      <c r="AM92" s="57">
        <f t="shared" si="253"/>
        <v>3.8576828231292519</v>
      </c>
      <c r="AN92" s="57">
        <f t="shared" si="253"/>
        <v>4.1799957482993202</v>
      </c>
      <c r="AO92" s="57">
        <f t="shared" si="253"/>
        <v>0</v>
      </c>
      <c r="AP92" s="57">
        <f>SUM(AF92:AO92)</f>
        <v>94.76</v>
      </c>
      <c r="AQ92" s="57"/>
      <c r="AR92" s="84">
        <f t="shared" si="254"/>
        <v>76.146428571428572</v>
      </c>
      <c r="AS92" s="85">
        <f t="shared" si="254"/>
        <v>0</v>
      </c>
      <c r="AT92" s="85">
        <f t="shared" si="254"/>
        <v>10.575892857142858</v>
      </c>
      <c r="AU92" s="85">
        <f t="shared" si="254"/>
        <v>0</v>
      </c>
      <c r="AV92" s="85">
        <f t="shared" si="254"/>
        <v>0</v>
      </c>
      <c r="AW92" s="85">
        <f t="shared" si="254"/>
        <v>0</v>
      </c>
      <c r="AX92" s="85">
        <f t="shared" si="254"/>
        <v>0</v>
      </c>
      <c r="AY92" s="85">
        <f t="shared" si="254"/>
        <v>3.8576828231292519</v>
      </c>
      <c r="AZ92" s="85">
        <f t="shared" si="254"/>
        <v>4.1799957482993202</v>
      </c>
      <c r="BA92" s="85">
        <f t="shared" si="254"/>
        <v>0</v>
      </c>
      <c r="BB92" s="85">
        <f>SUM(AR92:BA92)</f>
        <v>94.76</v>
      </c>
      <c r="BC92" s="85">
        <f t="shared" si="255"/>
        <v>0</v>
      </c>
      <c r="BD92" s="85">
        <f t="shared" si="255"/>
        <v>0</v>
      </c>
      <c r="BE92" s="85">
        <f>BB92+BC92+BD92+B92-AU92</f>
        <v>100</v>
      </c>
      <c r="BF92" s="84">
        <f t="shared" si="256"/>
        <v>80.357142857142847</v>
      </c>
      <c r="BG92" s="85">
        <f t="shared" si="256"/>
        <v>0</v>
      </c>
      <c r="BH92" s="85">
        <f t="shared" si="256"/>
        <v>11.160714285714286</v>
      </c>
      <c r="BI92" s="85">
        <f t="shared" si="257"/>
        <v>0</v>
      </c>
      <c r="BJ92" s="85">
        <f t="shared" si="257"/>
        <v>0</v>
      </c>
      <c r="BK92" s="85">
        <f t="shared" si="258"/>
        <v>0</v>
      </c>
      <c r="BL92" s="85">
        <f t="shared" si="258"/>
        <v>0</v>
      </c>
      <c r="BM92" s="85">
        <f t="shared" si="258"/>
        <v>0</v>
      </c>
      <c r="BN92" s="85">
        <f t="shared" si="258"/>
        <v>4.0710034013605441</v>
      </c>
      <c r="BO92" s="85">
        <f t="shared" si="258"/>
        <v>4.4111394557823136</v>
      </c>
      <c r="BP92" s="85">
        <f t="shared" si="258"/>
        <v>0</v>
      </c>
      <c r="BQ92" s="85">
        <f>SUM(BF92:BP92)</f>
        <v>100</v>
      </c>
      <c r="BR92" s="85"/>
      <c r="BS92" s="82">
        <f>AR92/Weights!$B$5*2+AS92/Weights!$B$7*2+AT92/Weights!$B$8*3+'Data and calc.'!BC92/Weights!$B$20*3+'Data and calc.'!BD92/Weights!$B$10+'Data and calc.'!AV92/Weights!$B$11+'Data and calc.'!AW92/Weights!$B$13+'Data and calc.'!AX92/Weights!$B$14+'Data and calc.'!AY92/Weights!$B$15+AZ92/Weights!$B$16+B92/Weights!$B$19+'Data and calc.'!BA92/Weights!$B$6*5</f>
        <v>3.2433720646193915</v>
      </c>
      <c r="BT92" s="84">
        <f>AR92/Weights!$B$5*8/'Data and calc.'!$BS92</f>
        <v>3.1260156272307764</v>
      </c>
      <c r="BU92" s="85">
        <f>AS92/Weights!$B$7*8/'Data and calc.'!$BS92</f>
        <v>0</v>
      </c>
      <c r="BV92" s="85">
        <f>AT92/Weights!$B$8*8/'Data and calc.'!$BS92*2</f>
        <v>0.51169373362485226</v>
      </c>
      <c r="BW92" s="85">
        <f>BC92/Weights!$B$20*8/'Data and calc.'!$BS92*2</f>
        <v>0</v>
      </c>
      <c r="BX92" s="85">
        <f>BD92/Weights!$B$10*8/'Data and calc.'!$BS92</f>
        <v>0</v>
      </c>
      <c r="BY92" s="85">
        <f>AV92/Weights!$B$11*8/'Data and calc.'!$BS92</f>
        <v>0</v>
      </c>
      <c r="BZ92" s="85">
        <f>AW92/Weights!$B$13*8/'Data and calc.'!$BS92</f>
        <v>0</v>
      </c>
      <c r="CA92" s="85">
        <f>AX92/Weights!$B$14*8/'Data and calc.'!$BS92</f>
        <v>0</v>
      </c>
      <c r="CB92" s="85">
        <f>AY92/Weights!$B$15*8/'Data and calc.'!$BS92*2</f>
        <v>0.30704950154879401</v>
      </c>
      <c r="CC92" s="85">
        <f>AZ92/Weights!$B$16*8/'Data and calc.'!$BS92*2</f>
        <v>0.21891142806928282</v>
      </c>
      <c r="CD92" s="85">
        <f>BA92/Weights!$B$6*8/'Data and calc.'!$BS92*2</f>
        <v>0</v>
      </c>
      <c r="CE92" s="85">
        <f>B92/Weights!$B$19*8/'Data and calc.'!$BS92*2</f>
        <v>1.4348953605842634</v>
      </c>
      <c r="CF92" s="85">
        <f>SUM(BT92:BW92)*4</f>
        <v>14.550837443422514</v>
      </c>
      <c r="CG92" s="85">
        <f>(16-CF92)/SUM(BT92:BW92)</f>
        <v>0.39837227574349893</v>
      </c>
      <c r="CH92" s="85">
        <f>CE92/SUM(BT92:CD92)</f>
        <v>0.34462271517205406</v>
      </c>
      <c r="CI92" s="85">
        <f>AR92/Weights!$B$5*2+AS92/Weights!$B$7*2+AT92/Weights!$B$8*3+'Data and calc.'!BC92/Weights!$B$20*3+'Data and calc.'!BD92/Weights!$B$10+'Data and calc.'!AV92/Weights!$B$11+'Data and calc.'!AW92/Weights!$B$13+'Data and calc.'!AX92/Weights!$B$14+'Data and calc.'!AY92/Weights!$B$15+AZ92/Weights!$B$16+'Data and calc.'!BA92/Weights!$B$6*5</f>
        <v>2.9525033441087061</v>
      </c>
      <c r="CJ92" s="84">
        <f>AR92/Weights!$B$5*8/'Data and calc.'!$CI92</f>
        <v>3.4339780780111697</v>
      </c>
      <c r="CK92" s="85">
        <f>AS92/Weights!$B$7*8/'Data and calc.'!$CI92</f>
        <v>0</v>
      </c>
      <c r="CL92" s="85">
        <f>AT92/Weights!$B$8*8/'Data and calc.'!$CI92*2</f>
        <v>0.56210373633993016</v>
      </c>
      <c r="CM92" s="85">
        <f>BC92/Weights!$B$20*8/'Data and calc.'!$CI92*2</f>
        <v>0</v>
      </c>
      <c r="CN92" s="85">
        <f>BD92/Weights!$B$10*8/'Data and calc.'!$CI92</f>
        <v>0</v>
      </c>
      <c r="CO92" s="85">
        <f>AV92/Weights!$B$11*8/'Data and calc.'!$CI92</f>
        <v>0</v>
      </c>
      <c r="CP92" s="85">
        <f>AW92/Weights!$B$13*8/'Data and calc.'!$CI92</f>
        <v>0</v>
      </c>
      <c r="CQ92" s="85">
        <f>AX92/Weights!$B$14*8/'Data and calc.'!$CI92</f>
        <v>0</v>
      </c>
      <c r="CR92" s="85">
        <f>AY92/Weights!$B$15*8/'Data and calc.'!$CI92*2</f>
        <v>0.33729877995423552</v>
      </c>
      <c r="CS92" s="85">
        <f>AZ92/Weights!$B$16*8/'Data and calc.'!$CI92*2</f>
        <v>0.24047769898129803</v>
      </c>
      <c r="CT92" s="85">
        <f>BA92/Weights!$B$6*8/'Data and calc.'!$CI92*2</f>
        <v>0</v>
      </c>
      <c r="CU92" s="85">
        <f>CJ92*2+CK92*2+CL92*1.5+CM92*1.5+CN92+CO92+CP92+CQ92+CR92*0.5+CS92*0.5+CT92*2.5</f>
        <v>8.0000000000000018</v>
      </c>
      <c r="CV92" s="85">
        <f>SUM(CJ92:CM92)*4</f>
        <v>15.984327257404399</v>
      </c>
      <c r="CW92" s="85">
        <f>(16-CV92)/SUM(CJ92:CM92)</f>
        <v>3.9220274568243212E-3</v>
      </c>
      <c r="CX92" s="113"/>
      <c r="CY92" s="90">
        <f t="shared" si="259"/>
        <v>6.3275570150949187E-2</v>
      </c>
      <c r="CZ92" s="91">
        <f>100*CY92/(1+CY92)</f>
        <v>5.9510038533064575</v>
      </c>
      <c r="DA92" s="85">
        <f>CZ92-B92</f>
        <v>0.71100385330645732</v>
      </c>
      <c r="DB92" s="85">
        <f>ABS(DA92)</f>
        <v>0.71100385330645732</v>
      </c>
      <c r="DC92" s="85">
        <f>DA92^2</f>
        <v>0.50552647941663031</v>
      </c>
      <c r="DD92" s="117"/>
      <c r="DE92" s="97"/>
      <c r="DF92" s="91">
        <f t="shared" si="260"/>
        <v>5.9463275357329151</v>
      </c>
      <c r="DG92" s="85">
        <f>DF92-B92</f>
        <v>0.70632753573291485</v>
      </c>
      <c r="DH92" s="85">
        <f>ABS(DG92)</f>
        <v>0.70632753573291485</v>
      </c>
      <c r="DI92" s="85">
        <f>DG92^2</f>
        <v>0.49889858773453211</v>
      </c>
      <c r="DK92" s="117"/>
      <c r="DL92" s="99">
        <f>'Eq. 3 coef.'!$B$15+'Eq. 3 coef.'!$B$16*'Data and calc.'!G92^2+'Eq. 3 coef.'!$B$17*'Data and calc.'!G92+'Eq. 3 coef.'!$B$18*'Data and calc.'!BF92+'Eq. 3 coef.'!$B$19*'Data and calc.'!BG92+'Eq. 3 coef.'!$B$20*'Data and calc.'!BH92+'Eq. 3 coef.'!$B$21*'Data and calc.'!BI92+'Eq. 3 coef.'!$B$22*'Data and calc.'!BJ92+'Eq. 3 coef.'!$B$23*'Data and calc.'!BK92+'Eq. 3 coef.'!$B$24*'Data and calc.'!BL92+'Eq. 3 coef.'!$B$25*'Data and calc.'!BM92+'Eq. 3 coef.'!$B$26*'Data and calc.'!BN92+'Eq. 3 coef.'!$B$27*'Data and calc.'!BO92+'Eq. 3 coef.'!$B$28*'Data and calc.'!BP92</f>
        <v>5.5205922926907078</v>
      </c>
      <c r="DM92" s="85">
        <f>DL92-B92</f>
        <v>0.28059229269070762</v>
      </c>
      <c r="DN92" s="85">
        <f>ABS(DM92)</f>
        <v>0.28059229269070762</v>
      </c>
      <c r="DO92" s="85">
        <f>DM92^2</f>
        <v>7.8732034717427735E-2</v>
      </c>
      <c r="DP92" s="117"/>
      <c r="DQ92" s="99">
        <f>'Eq. 4 coef.'!$B$15+'Eq. 4 coef.'!$B$16*'Data and calc.'!G92^2+'Eq. 4 coef.'!$B$17*'Data and calc.'!G92+'Eq. 4 coef.'!$B$18*'Data and calc.'!O92+'Eq. 4 coef.'!$B$19*'Data and calc.'!P92+'Eq. 4 coef.'!$B$20*'Data and calc.'!Q92+'Eq. 4 coef.'!$B$21*'Data and calc.'!R92+'Eq. 4 coef.'!$B$22*'Data and calc.'!S92+'Eq. 4 coef.'!$B$23*'Data and calc.'!T92+'Eq. 4 coef.'!$B$24*'Data and calc.'!U92+'Eq. 4 coef.'!$B$25*'Data and calc.'!V92+'Eq. 4 coef.'!$B$26*'Data and calc.'!W92+'Eq. 4 coef.'!$B$27*'Data and calc.'!X92</f>
        <v>5.5359512012073537</v>
      </c>
      <c r="DR92" s="85">
        <f>DQ92-B92</f>
        <v>0.29595120120735352</v>
      </c>
      <c r="DS92" s="85">
        <f>ABS(DR92)</f>
        <v>0.29595120120735352</v>
      </c>
      <c r="DT92" s="85">
        <f>DR92^2</f>
        <v>8.7587113496075453E-2</v>
      </c>
    </row>
    <row r="93" spans="1:125" ht="15" x14ac:dyDescent="0.2">
      <c r="B93" s="73"/>
      <c r="C93" s="73"/>
      <c r="E93" s="71"/>
      <c r="F93" s="126"/>
      <c r="G93" s="73"/>
      <c r="H93" s="73"/>
      <c r="I93" s="126"/>
      <c r="L93" s="73"/>
      <c r="N93" s="50"/>
      <c r="O93" s="76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59"/>
      <c r="AC93" s="60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84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4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2"/>
      <c r="BT93" s="84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5"/>
      <c r="CH93" s="85"/>
      <c r="CI93" s="85"/>
      <c r="CJ93" s="84"/>
      <c r="CK93" s="85"/>
      <c r="CL93" s="85"/>
      <c r="CM93" s="85"/>
      <c r="CN93" s="85"/>
      <c r="CO93" s="85"/>
      <c r="CP93" s="85"/>
      <c r="CQ93" s="85"/>
      <c r="CR93" s="85"/>
      <c r="CS93" s="85"/>
      <c r="CT93" s="85"/>
      <c r="CU93" s="85"/>
      <c r="CV93" s="85"/>
      <c r="CW93" s="85"/>
      <c r="CX93" s="113"/>
      <c r="CZ93" s="91"/>
      <c r="DA93" s="85"/>
      <c r="DB93" s="85"/>
      <c r="DC93" s="85"/>
      <c r="DD93" s="117"/>
      <c r="DE93" s="97"/>
      <c r="DF93" s="91"/>
      <c r="DG93" s="85"/>
      <c r="DH93" s="85"/>
      <c r="DI93" s="85"/>
      <c r="DK93" s="117"/>
      <c r="DM93" s="85"/>
      <c r="DN93" s="85"/>
      <c r="DO93" s="85"/>
      <c r="DP93" s="117"/>
      <c r="DR93" s="85"/>
      <c r="DS93" s="85"/>
      <c r="DT93" s="85"/>
    </row>
    <row r="94" spans="1:125" ht="15" x14ac:dyDescent="0.2">
      <c r="A94" s="143" t="s">
        <v>718</v>
      </c>
      <c r="B94" s="73">
        <f>MIN(B5:B92)</f>
        <v>0.17</v>
      </c>
      <c r="C94" s="73">
        <f>MIN(C5:C92)</f>
        <v>1.6E-2</v>
      </c>
      <c r="D94" s="64">
        <f>MIN(D5:D92)</f>
        <v>0.63492063492063489</v>
      </c>
      <c r="E94" s="71"/>
      <c r="F94" s="126"/>
      <c r="G94" s="73">
        <f>MIN(G5:G92)</f>
        <v>0.67890083214407426</v>
      </c>
      <c r="H94" s="73">
        <f>MIN(H5:H92)</f>
        <v>6.9026956409463961E-3</v>
      </c>
      <c r="I94" s="126">
        <f>MIN(I5:I92)</f>
        <v>0.31910929762231283</v>
      </c>
      <c r="J94" s="70">
        <f t="shared" ref="J94:M94" si="261">MIN(J5:J92)</f>
        <v>1000</v>
      </c>
      <c r="K94" s="70">
        <f t="shared" si="261"/>
        <v>50</v>
      </c>
      <c r="L94" s="73">
        <f t="shared" si="261"/>
        <v>3.4862336642930104E-3</v>
      </c>
      <c r="M94" s="73">
        <f t="shared" si="261"/>
        <v>1.5</v>
      </c>
      <c r="N94" s="64">
        <f>MIN(N5:N92)</f>
        <v>-2.6152870154548138</v>
      </c>
      <c r="O94" s="76">
        <f t="shared" ref="O94:X94" si="262">MIN(O5:O92)</f>
        <v>49.498143101553232</v>
      </c>
      <c r="P94" s="73">
        <f t="shared" si="262"/>
        <v>0</v>
      </c>
      <c r="Q94" s="73">
        <f t="shared" si="262"/>
        <v>11.160714285714286</v>
      </c>
      <c r="R94" s="73">
        <f t="shared" si="262"/>
        <v>0</v>
      </c>
      <c r="S94" s="73">
        <f t="shared" si="262"/>
        <v>0</v>
      </c>
      <c r="T94" s="73">
        <f t="shared" si="262"/>
        <v>0</v>
      </c>
      <c r="U94" s="73">
        <f t="shared" si="262"/>
        <v>0</v>
      </c>
      <c r="V94" s="73">
        <f t="shared" si="262"/>
        <v>1.9046246031007357</v>
      </c>
      <c r="W94" s="73">
        <f t="shared" si="262"/>
        <v>5.9218318199763122E-2</v>
      </c>
      <c r="X94" s="73">
        <f t="shared" si="262"/>
        <v>0</v>
      </c>
      <c r="Y94" s="73"/>
      <c r="Z94" s="73">
        <v>2.2502960915909989</v>
      </c>
      <c r="AA94" s="73"/>
      <c r="AB94" s="56">
        <f>MIN(AB5:AB93)</f>
        <v>0</v>
      </c>
      <c r="AC94" s="57">
        <f>MIN(AC5:AC93)</f>
        <v>0</v>
      </c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84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6">
        <f t="shared" ref="BF94:BP94" si="263">MIN(BF88:BF92,BF73:BF73,BF69:BF70,BF67:BF67,BF44:BF65,BF34:BF41)</f>
        <v>49.310928541828687</v>
      </c>
      <c r="BG94" s="87">
        <f t="shared" si="263"/>
        <v>0</v>
      </c>
      <c r="BH94" s="87">
        <f t="shared" si="263"/>
        <v>11.160714285714286</v>
      </c>
      <c r="BI94" s="87">
        <f t="shared" si="263"/>
        <v>0</v>
      </c>
      <c r="BJ94" s="87">
        <f t="shared" si="263"/>
        <v>0</v>
      </c>
      <c r="BK94" s="87">
        <f t="shared" si="263"/>
        <v>0</v>
      </c>
      <c r="BL94" s="87">
        <f t="shared" si="263"/>
        <v>0</v>
      </c>
      <c r="BM94" s="87">
        <f t="shared" si="263"/>
        <v>0</v>
      </c>
      <c r="BN94" s="87">
        <f t="shared" si="263"/>
        <v>1.895051436518707</v>
      </c>
      <c r="BO94" s="87">
        <f t="shared" si="263"/>
        <v>5.894651645334676E-2</v>
      </c>
      <c r="BP94" s="87">
        <f t="shared" si="263"/>
        <v>0</v>
      </c>
      <c r="BQ94" s="85"/>
      <c r="BR94" s="85"/>
      <c r="BS94" s="82"/>
      <c r="BT94" s="84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>
        <f>MIN(CF5:CF93)</f>
        <v>12.431091944953785</v>
      </c>
      <c r="CG94" s="85"/>
      <c r="CH94" s="85"/>
      <c r="CI94" s="85"/>
      <c r="CJ94" s="84">
        <f t="shared" ref="CJ94:CS94" si="264">MIN(CJ5:CJ93)</f>
        <v>2.3545693505849656</v>
      </c>
      <c r="CK94" s="85">
        <f t="shared" si="264"/>
        <v>0</v>
      </c>
      <c r="CL94" s="85">
        <f t="shared" si="264"/>
        <v>0.56210373633993016</v>
      </c>
      <c r="CM94" s="85">
        <f t="shared" si="264"/>
        <v>0</v>
      </c>
      <c r="CN94" s="85">
        <f t="shared" si="264"/>
        <v>0</v>
      </c>
      <c r="CO94" s="85">
        <f t="shared" si="264"/>
        <v>0</v>
      </c>
      <c r="CP94" s="85">
        <f t="shared" si="264"/>
        <v>0</v>
      </c>
      <c r="CQ94" s="85">
        <f t="shared" si="264"/>
        <v>0</v>
      </c>
      <c r="CR94" s="85">
        <f t="shared" si="264"/>
        <v>0.17413946558141791</v>
      </c>
      <c r="CS94" s="85">
        <f t="shared" si="264"/>
        <v>3.595911744492634E-3</v>
      </c>
      <c r="CT94" s="85"/>
      <c r="CU94" s="85"/>
      <c r="CV94" s="85">
        <f>MIN(CV5:CV93)</f>
        <v>13.500365336042723</v>
      </c>
      <c r="CW94" s="85">
        <f>MIN(CW5:CW93)</f>
        <v>3.0138183311870293E-3</v>
      </c>
      <c r="CZ94" s="91">
        <f>MIN(CZ5:CZ93)</f>
        <v>0.21706143488676391</v>
      </c>
      <c r="DA94" s="85">
        <f>MIN(DA5:DA93)</f>
        <v>-0.62398511582555116</v>
      </c>
      <c r="DB94" s="85"/>
      <c r="DC94" s="85"/>
      <c r="DF94" s="91">
        <f t="shared" ref="DF94:DF95" si="265">$DF$2*G94^2 + $DH$2*G94 +$DJ$2</f>
        <v>0.201066901689192</v>
      </c>
      <c r="DG94" s="85">
        <f>MIN(DG5:DG93)</f>
        <v>-0.61639539230062201</v>
      </c>
      <c r="DH94" s="85"/>
      <c r="DI94" s="85"/>
      <c r="DL94" s="99">
        <f>MIN(DL5:DL93)</f>
        <v>0.21815854984743055</v>
      </c>
      <c r="DM94" s="85">
        <f>MIN(DM5:DM93)</f>
        <v>-0.42935689898232976</v>
      </c>
      <c r="DN94" s="85"/>
      <c r="DO94" s="85"/>
      <c r="DQ94" s="99">
        <f>MIN(DQ5:DQ93)</f>
        <v>0.15031645877797928</v>
      </c>
      <c r="DR94" s="85">
        <f>MIN(DR5:DR93)</f>
        <v>-0.4275713764172151</v>
      </c>
      <c r="DS94" s="85"/>
      <c r="DT94" s="85"/>
    </row>
    <row r="95" spans="1:125" ht="15" x14ac:dyDescent="0.2">
      <c r="A95" s="143" t="s">
        <v>719</v>
      </c>
      <c r="B95" s="73">
        <f>MAX(B5:B92)</f>
        <v>7.56</v>
      </c>
      <c r="C95" s="73">
        <f>MAX(C5:C92)</f>
        <v>0.18</v>
      </c>
      <c r="D95" s="64">
        <f>MAX(D5:D92)</f>
        <v>41.176470588235297</v>
      </c>
      <c r="E95" s="71"/>
      <c r="F95" s="126"/>
      <c r="G95" s="73">
        <f>MAX(G5:G92)</f>
        <v>10.464031610369899</v>
      </c>
      <c r="H95" s="73">
        <f>MAX(H5:H92)</f>
        <v>0.18717300643815679</v>
      </c>
      <c r="I95" s="126">
        <f>MAX(I5:I92)</f>
        <v>9.4134749646800042</v>
      </c>
      <c r="J95" s="70">
        <f t="shared" ref="J95:M95" si="266">MAX(J5:J92)</f>
        <v>1275</v>
      </c>
      <c r="K95" s="70">
        <f t="shared" si="266"/>
        <v>500</v>
      </c>
      <c r="L95" s="73">
        <f t="shared" si="266"/>
        <v>1</v>
      </c>
      <c r="M95" s="73">
        <f t="shared" si="266"/>
        <v>2.6</v>
      </c>
      <c r="N95" s="64">
        <f>MAX(N5:N92)</f>
        <v>2.6</v>
      </c>
      <c r="O95" s="76">
        <f t="shared" ref="O95:X95" si="267">MAX(O5:O92)</f>
        <v>80.357142857142847</v>
      </c>
      <c r="P95" s="73">
        <f t="shared" si="267"/>
        <v>1.41</v>
      </c>
      <c r="Q95" s="73">
        <f t="shared" si="267"/>
        <v>18.738442572426546</v>
      </c>
      <c r="R95" s="73">
        <f t="shared" si="267"/>
        <v>11.187208107469223</v>
      </c>
      <c r="S95" s="73">
        <f t="shared" si="267"/>
        <v>0.24382487013675402</v>
      </c>
      <c r="T95" s="73">
        <f t="shared" si="267"/>
        <v>13.580916467845149</v>
      </c>
      <c r="U95" s="73">
        <f t="shared" si="267"/>
        <v>12.728561704753265</v>
      </c>
      <c r="V95" s="73">
        <f t="shared" si="267"/>
        <v>8.3165697945662398</v>
      </c>
      <c r="W95" s="73">
        <f t="shared" si="267"/>
        <v>5.5024313444188371</v>
      </c>
      <c r="X95" s="73">
        <f t="shared" si="267"/>
        <v>1.2887596137768444</v>
      </c>
      <c r="Y95" s="73"/>
      <c r="Z95" s="73">
        <v>13.819001138985076</v>
      </c>
      <c r="AA95" s="73"/>
      <c r="AB95" s="56">
        <f>MAX(AB5:AB93)</f>
        <v>6.2658074064454663</v>
      </c>
      <c r="AC95" s="57">
        <f>MAX(AC5:AC93)</f>
        <v>7.7350735211380162</v>
      </c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84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6">
        <f t="shared" ref="BF95:BP95" si="268">MAX(BF88:BF92,BF73:BF73,BF69:BF70,BF67:BF67,BF44:BF65,BF34:BF41)</f>
        <v>80.357142857142847</v>
      </c>
      <c r="BG95" s="87">
        <f t="shared" si="268"/>
        <v>1.3653263622425669</v>
      </c>
      <c r="BH95" s="87">
        <f t="shared" si="268"/>
        <v>18.726307747221696</v>
      </c>
      <c r="BI95" s="87">
        <f t="shared" si="268"/>
        <v>6.2271408552553575</v>
      </c>
      <c r="BJ95" s="87">
        <f t="shared" si="268"/>
        <v>7.7204653988994201</v>
      </c>
      <c r="BK95" s="87">
        <f t="shared" si="268"/>
        <v>0.24253087136060203</v>
      </c>
      <c r="BL95" s="87">
        <f t="shared" si="268"/>
        <v>10.169392061776197</v>
      </c>
      <c r="BM95" s="87">
        <f t="shared" si="268"/>
        <v>12.664584456244107</v>
      </c>
      <c r="BN95" s="87">
        <f t="shared" si="268"/>
        <v>4.4414535666218038</v>
      </c>
      <c r="BO95" s="87">
        <f t="shared" si="268"/>
        <v>5.382313560302074</v>
      </c>
      <c r="BP95" s="87">
        <f t="shared" si="268"/>
        <v>0.31270139441527028</v>
      </c>
      <c r="BQ95" s="85"/>
      <c r="BR95" s="85"/>
      <c r="BS95" s="82"/>
      <c r="BT95" s="84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>
        <f>MAX(CF5:CF93)</f>
        <v>15.208430020734761</v>
      </c>
      <c r="CG95" s="85"/>
      <c r="CH95" s="85"/>
      <c r="CI95" s="85"/>
      <c r="CJ95" s="84">
        <f t="shared" ref="CJ95:CS95" si="269">MAX(CJ5:CJ93)</f>
        <v>3.4339780780111697</v>
      </c>
      <c r="CK95" s="85">
        <f t="shared" si="269"/>
        <v>4.9559025700186034E-2</v>
      </c>
      <c r="CL95" s="85">
        <f t="shared" si="269"/>
        <v>1.0398964743234171</v>
      </c>
      <c r="CM95" s="85">
        <f t="shared" si="269"/>
        <v>0.2225656901177166</v>
      </c>
      <c r="CN95" s="85">
        <f t="shared" si="269"/>
        <v>0.30981089149338886</v>
      </c>
      <c r="CO95" s="85">
        <f t="shared" si="269"/>
        <v>9.7509074295099238E-3</v>
      </c>
      <c r="CP95" s="85">
        <f t="shared" si="269"/>
        <v>0.93341644177920235</v>
      </c>
      <c r="CQ95" s="85">
        <f t="shared" si="269"/>
        <v>0.64312251431660827</v>
      </c>
      <c r="CR95" s="85">
        <f t="shared" si="269"/>
        <v>0.74154957717920189</v>
      </c>
      <c r="CS95" s="85">
        <f t="shared" si="269"/>
        <v>0.32282064590653192</v>
      </c>
      <c r="CT95" s="85"/>
      <c r="CU95" s="85"/>
      <c r="CV95" s="85">
        <f>MAX(CV5:CV93)</f>
        <v>15.987953802937634</v>
      </c>
      <c r="CW95" s="85">
        <f>MAX(CW5:CW93)</f>
        <v>0.74061245062275605</v>
      </c>
      <c r="CZ95" s="91">
        <f>MAX(CZ5:CZ93)</f>
        <v>7.9550164376266279</v>
      </c>
      <c r="DA95" s="85">
        <f>MAX(DA5:DA93)</f>
        <v>0.71100385330645732</v>
      </c>
      <c r="DB95" s="85"/>
      <c r="DC95" s="85"/>
      <c r="DF95" s="91">
        <f t="shared" si="265"/>
        <v>7.8965766582306101</v>
      </c>
      <c r="DG95" s="85">
        <f>MAX(DG5:DG93)</f>
        <v>0.70632753573291485</v>
      </c>
      <c r="DH95" s="85"/>
      <c r="DI95" s="85"/>
      <c r="DL95" s="99">
        <f>MAX(DL5:DL93)</f>
        <v>7.9755732649136917</v>
      </c>
      <c r="DM95" s="85">
        <f>MAX(DM5:DM93)</f>
        <v>0.47464251448727746</v>
      </c>
      <c r="DN95" s="85"/>
      <c r="DO95" s="85"/>
      <c r="DQ95" s="99">
        <f>MAX(DQ5:DQ93)</f>
        <v>8.0314568587739359</v>
      </c>
      <c r="DR95" s="85">
        <f>MAX(DR5:DR93)</f>
        <v>0.4784641976626518</v>
      </c>
      <c r="DS95" s="85"/>
      <c r="DT95" s="85"/>
    </row>
    <row r="96" spans="1:125" s="61" customFormat="1" ht="15" x14ac:dyDescent="0.2">
      <c r="A96" s="143" t="s">
        <v>720</v>
      </c>
      <c r="B96" s="73"/>
      <c r="C96" s="73">
        <f>AVERAGE(C5:C95)</f>
        <v>9.1348845641870985E-2</v>
      </c>
      <c r="D96" s="64"/>
      <c r="E96" s="71"/>
      <c r="F96" s="126"/>
      <c r="G96" s="73"/>
      <c r="H96" s="73">
        <f>AVERAGE(H5:H95)</f>
        <v>7.1771745646066365E-2</v>
      </c>
      <c r="I96" s="126"/>
      <c r="J96" s="70"/>
      <c r="K96" s="70"/>
      <c r="L96" s="73"/>
      <c r="M96" s="70"/>
      <c r="N96" s="64"/>
      <c r="O96" s="76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58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103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86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64"/>
      <c r="BR96" s="64"/>
      <c r="BS96" s="82"/>
      <c r="BT96" s="103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103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4"/>
      <c r="CW96" s="64"/>
      <c r="CX96" s="114"/>
      <c r="CY96" s="104"/>
      <c r="CZ96" s="105"/>
      <c r="DA96" s="64"/>
      <c r="DB96" s="105">
        <f>AVERAGE(DB5:DB95)</f>
        <v>0.20132485103387371</v>
      </c>
      <c r="DC96" s="64"/>
      <c r="DD96" s="118"/>
      <c r="DE96" s="83"/>
      <c r="DF96" s="106"/>
      <c r="DG96" s="105"/>
      <c r="DH96" s="105">
        <f>AVERAGE(DH5:DH95)</f>
        <v>0.20231384523791485</v>
      </c>
      <c r="DI96" s="64"/>
      <c r="DJ96" s="63"/>
      <c r="DK96" s="118"/>
      <c r="DL96" s="107"/>
      <c r="DM96" s="108"/>
      <c r="DN96" s="105">
        <f>AVERAGE(DN5:DN95)</f>
        <v>0.16416006123632759</v>
      </c>
      <c r="DO96" s="64"/>
      <c r="DP96" s="118"/>
      <c r="DQ96" s="107"/>
      <c r="DR96" s="64"/>
      <c r="DS96" s="105">
        <f>AVERAGE(DS5:DS95)</f>
        <v>0.16914149835707432</v>
      </c>
      <c r="DT96" s="64"/>
      <c r="DU96" s="52"/>
    </row>
    <row r="97" spans="1:125" ht="15" x14ac:dyDescent="0.2">
      <c r="A97" s="143"/>
      <c r="B97" s="73"/>
      <c r="C97" s="73"/>
      <c r="E97" s="73"/>
      <c r="F97" s="64"/>
      <c r="G97" s="73"/>
      <c r="I97" s="64"/>
      <c r="L97" s="73"/>
      <c r="O97" s="76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59"/>
      <c r="AC97" s="60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84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4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5"/>
      <c r="BR97" s="85"/>
      <c r="BS97" s="82"/>
      <c r="BT97" s="84"/>
      <c r="BU97" s="85"/>
      <c r="BV97" s="85"/>
      <c r="BW97" s="85"/>
      <c r="BX97" s="85"/>
      <c r="BY97" s="85"/>
      <c r="BZ97" s="85"/>
      <c r="CA97" s="85"/>
      <c r="CB97" s="85"/>
      <c r="CC97" s="85"/>
      <c r="CD97" s="85"/>
      <c r="CE97" s="85"/>
      <c r="CF97" s="85"/>
      <c r="CG97" s="85"/>
      <c r="CH97" s="85"/>
      <c r="CI97" s="85"/>
      <c r="CJ97" s="84"/>
      <c r="CK97" s="85"/>
      <c r="CL97" s="85"/>
      <c r="CM97" s="85"/>
      <c r="CN97" s="85"/>
      <c r="CO97" s="85"/>
      <c r="CP97" s="85"/>
      <c r="CQ97" s="85"/>
      <c r="CR97" s="85"/>
      <c r="CS97" s="85"/>
      <c r="CT97" s="85"/>
      <c r="CU97" s="85"/>
      <c r="CV97" s="85"/>
      <c r="CW97" s="85"/>
      <c r="CZ97" s="91"/>
      <c r="DA97" s="85"/>
      <c r="DB97" s="85"/>
      <c r="DC97" s="85"/>
      <c r="DG97" s="85"/>
      <c r="DH97" s="85"/>
      <c r="DI97" s="85"/>
      <c r="DL97" s="99"/>
      <c r="DM97" s="85"/>
      <c r="DN97" s="85"/>
      <c r="DO97" s="85"/>
      <c r="DQ97" s="99"/>
      <c r="DR97" s="85"/>
      <c r="DS97" s="85"/>
      <c r="DT97" s="85"/>
    </row>
    <row r="98" spans="1:125" ht="15" x14ac:dyDescent="0.2">
      <c r="A98" s="143" t="s">
        <v>414</v>
      </c>
      <c r="B98" s="73"/>
      <c r="C98" s="73"/>
      <c r="E98" s="73"/>
      <c r="F98" s="64"/>
      <c r="G98" s="73"/>
      <c r="H98" s="73"/>
      <c r="I98" s="64"/>
      <c r="L98" s="73"/>
      <c r="O98" s="76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59"/>
      <c r="AC98" s="60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84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4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2"/>
      <c r="BT98" s="84"/>
      <c r="BU98" s="85"/>
      <c r="BV98" s="85"/>
      <c r="BW98" s="85"/>
      <c r="BX98" s="85"/>
      <c r="BY98" s="85"/>
      <c r="BZ98" s="85"/>
      <c r="CA98" s="85"/>
      <c r="CB98" s="85"/>
      <c r="CC98" s="85"/>
      <c r="CD98" s="85"/>
      <c r="CE98" s="85"/>
      <c r="CF98" s="85"/>
      <c r="CG98" s="85"/>
      <c r="CH98" s="85"/>
      <c r="CI98" s="85"/>
      <c r="CJ98" s="84"/>
      <c r="CK98" s="85"/>
      <c r="CL98" s="85"/>
      <c r="CM98" s="85"/>
      <c r="CN98" s="85"/>
      <c r="CO98" s="85"/>
      <c r="CP98" s="85"/>
      <c r="CQ98" s="85"/>
      <c r="CR98" s="85"/>
      <c r="CS98" s="85"/>
      <c r="CT98" s="85"/>
      <c r="CU98" s="85"/>
      <c r="CV98" s="85"/>
      <c r="CW98" s="85"/>
      <c r="CZ98" s="91"/>
      <c r="DA98" s="85"/>
      <c r="DB98" s="85"/>
      <c r="DC98" s="85">
        <f>SUM(DC5:DC93)</f>
        <v>5.5499805012832972</v>
      </c>
      <c r="DG98" s="85"/>
      <c r="DH98" s="85"/>
      <c r="DI98" s="85">
        <f>SUM(DI5:DI93)</f>
        <v>5.5281207750055241</v>
      </c>
      <c r="DL98" s="99"/>
      <c r="DM98" s="85"/>
      <c r="DN98" s="85"/>
      <c r="DO98" s="85">
        <f>SUM(DO5:DO93)</f>
        <v>3.1996600103432429</v>
      </c>
      <c r="DQ98" s="99"/>
      <c r="DR98" s="85"/>
      <c r="DS98" s="85"/>
      <c r="DT98" s="85">
        <f>SUM(DT5:DT93)</f>
        <v>3.542126961770375</v>
      </c>
    </row>
    <row r="99" spans="1:125" ht="15" x14ac:dyDescent="0.2">
      <c r="A99" s="143" t="s">
        <v>458</v>
      </c>
      <c r="B99" s="125">
        <f>COUNT(B4:B92)</f>
        <v>82</v>
      </c>
      <c r="C99" s="73"/>
      <c r="E99" s="73"/>
      <c r="F99" s="64"/>
      <c r="G99" s="125">
        <f>COUNT(G4:G92)</f>
        <v>82</v>
      </c>
      <c r="H99" s="73"/>
      <c r="I99" s="64"/>
      <c r="J99" s="125">
        <f>COUNT(J4:J92)</f>
        <v>72</v>
      </c>
      <c r="L99" s="73"/>
      <c r="O99" s="128">
        <f>COUNT(O4:O92)</f>
        <v>76</v>
      </c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59"/>
      <c r="AC99" s="60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84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4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2"/>
      <c r="BT99" s="84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4"/>
      <c r="CK99" s="85"/>
      <c r="CL99" s="85"/>
      <c r="CM99" s="85"/>
      <c r="CN99" s="85"/>
      <c r="CO99" s="85"/>
      <c r="CP99" s="85"/>
      <c r="CQ99" s="85"/>
      <c r="CR99" s="85"/>
      <c r="CS99" s="85"/>
      <c r="CT99" s="85"/>
      <c r="CU99" s="85"/>
      <c r="CV99" s="85"/>
      <c r="CW99" s="85"/>
      <c r="CZ99" s="91"/>
      <c r="DA99" s="92"/>
      <c r="DB99" s="85"/>
      <c r="DC99" s="92">
        <f>COUNT(DC5:DC93)</f>
        <v>82</v>
      </c>
      <c r="DG99" s="85"/>
      <c r="DH99" s="85"/>
      <c r="DI99" s="92">
        <f>COUNT(DI5:DI93)</f>
        <v>82</v>
      </c>
      <c r="DJ99" s="92"/>
      <c r="DL99" s="100"/>
      <c r="DM99" s="92"/>
      <c r="DN99" s="85"/>
      <c r="DO99" s="92">
        <f>COUNT(DO5:DO93)</f>
        <v>72</v>
      </c>
      <c r="DQ99" s="100"/>
      <c r="DR99" s="92"/>
      <c r="DS99" s="85"/>
      <c r="DT99" s="92">
        <f>COUNT(DT5:DT93)</f>
        <v>76</v>
      </c>
    </row>
    <row r="100" spans="1:125" ht="15" x14ac:dyDescent="0.2">
      <c r="A100" s="143" t="s">
        <v>459</v>
      </c>
      <c r="B100" s="73"/>
      <c r="C100" s="73"/>
      <c r="E100" s="73"/>
      <c r="F100" s="64"/>
      <c r="G100" s="73"/>
      <c r="H100" s="73"/>
      <c r="I100" s="64"/>
      <c r="L100" s="73"/>
      <c r="O100" s="76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59"/>
      <c r="AC100" s="60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84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4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2"/>
      <c r="BT100" s="84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4"/>
      <c r="CK100" s="85"/>
      <c r="CL100" s="85"/>
      <c r="CM100" s="85"/>
      <c r="CN100" s="85"/>
      <c r="CO100" s="85"/>
      <c r="CP100" s="85"/>
      <c r="CQ100" s="85"/>
      <c r="CR100" s="85"/>
      <c r="CS100" s="85"/>
      <c r="CT100" s="85"/>
      <c r="CU100" s="85"/>
      <c r="CV100" s="85"/>
      <c r="CW100" s="85"/>
      <c r="CZ100" s="91"/>
      <c r="DA100" s="93"/>
      <c r="DB100" s="85"/>
      <c r="DC100" s="88">
        <f>SQRT(DC98/DC99)</f>
        <v>0.26015896878647143</v>
      </c>
      <c r="DE100" s="109"/>
      <c r="DF100" s="88"/>
      <c r="DG100" s="93"/>
      <c r="DH100" s="110"/>
      <c r="DI100" s="88">
        <f>SQRT(DI98/DI99)</f>
        <v>0.25964611880839367</v>
      </c>
      <c r="DJ100" s="93"/>
      <c r="DL100" s="90"/>
      <c r="DM100" s="93"/>
      <c r="DN100" s="93"/>
      <c r="DO100" s="88">
        <f>SQRT(DO98/DO99)</f>
        <v>0.21080731098773203</v>
      </c>
      <c r="DQ100" s="90"/>
      <c r="DR100" s="93"/>
      <c r="DS100" s="93"/>
      <c r="DT100" s="88">
        <f>SQRT(DT98/DT99)</f>
        <v>0.21588639074176244</v>
      </c>
    </row>
    <row r="101" spans="1:125" ht="15" x14ac:dyDescent="0.2">
      <c r="A101" s="143"/>
      <c r="B101" s="73"/>
      <c r="C101" s="73"/>
      <c r="E101" s="73"/>
      <c r="F101" s="64"/>
      <c r="G101" s="73"/>
      <c r="H101" s="73"/>
      <c r="I101" s="64"/>
      <c r="L101" s="73"/>
      <c r="O101" s="76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59"/>
      <c r="AC101" s="60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84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4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2"/>
      <c r="BT101" s="84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5"/>
      <c r="CH101" s="85"/>
      <c r="CI101" s="85"/>
      <c r="CJ101" s="84"/>
      <c r="CK101" s="85"/>
      <c r="CL101" s="85"/>
      <c r="CM101" s="85"/>
      <c r="CN101" s="85"/>
      <c r="CO101" s="85"/>
      <c r="CP101" s="85"/>
      <c r="CQ101" s="85"/>
      <c r="CR101" s="85"/>
      <c r="CS101" s="85"/>
      <c r="CT101" s="85"/>
      <c r="CU101" s="85"/>
      <c r="CV101" s="85"/>
      <c r="CW101" s="85"/>
      <c r="CZ101" s="91"/>
      <c r="DA101" s="93"/>
      <c r="DB101" s="85"/>
      <c r="DC101" s="91"/>
      <c r="DG101" s="85"/>
      <c r="DH101" s="98"/>
      <c r="DI101" s="88"/>
      <c r="DL101" s="90"/>
      <c r="DM101" s="93"/>
      <c r="DN101" s="85"/>
      <c r="DO101" s="91"/>
      <c r="DQ101" s="90"/>
      <c r="DR101" s="93"/>
      <c r="DS101" s="85"/>
      <c r="DT101" s="91"/>
    </row>
    <row r="102" spans="1:125" ht="18" x14ac:dyDescent="0.2">
      <c r="A102" s="141" t="s">
        <v>679</v>
      </c>
      <c r="B102" s="73"/>
      <c r="C102" s="73"/>
      <c r="E102" s="73"/>
      <c r="F102" s="64"/>
      <c r="G102" s="73"/>
      <c r="H102" s="73"/>
      <c r="I102" s="64"/>
      <c r="L102" s="73"/>
      <c r="O102" s="76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59"/>
      <c r="AC102" s="60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84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4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2"/>
      <c r="BT102" s="84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5"/>
      <c r="CH102" s="85"/>
      <c r="CI102" s="85"/>
      <c r="CJ102" s="84"/>
      <c r="CK102" s="85"/>
      <c r="CL102" s="85"/>
      <c r="CM102" s="85"/>
      <c r="CN102" s="85"/>
      <c r="CO102" s="85"/>
      <c r="CP102" s="85"/>
      <c r="CQ102" s="85"/>
      <c r="CR102" s="85"/>
      <c r="CS102" s="85"/>
      <c r="CT102" s="85"/>
      <c r="CU102" s="85"/>
      <c r="CV102" s="85"/>
      <c r="CW102" s="85"/>
      <c r="CZ102" s="91"/>
      <c r="DA102" s="93"/>
      <c r="DB102" s="85"/>
      <c r="DC102" s="91"/>
      <c r="DG102" s="85"/>
      <c r="DH102" s="98"/>
      <c r="DI102" s="88"/>
      <c r="DL102" s="90"/>
      <c r="DM102" s="93"/>
      <c r="DN102" s="85"/>
      <c r="DO102" s="91"/>
      <c r="DQ102" s="90"/>
      <c r="DR102" s="93"/>
      <c r="DS102" s="85"/>
      <c r="DT102" s="91"/>
    </row>
    <row r="103" spans="1:125" ht="15" x14ac:dyDescent="0.2">
      <c r="A103" s="144" t="s">
        <v>686</v>
      </c>
      <c r="B103" s="73"/>
      <c r="C103" s="73"/>
      <c r="E103" s="73"/>
      <c r="F103" s="64"/>
      <c r="G103" s="73"/>
      <c r="H103" s="73"/>
      <c r="I103" s="64"/>
      <c r="L103" s="73"/>
      <c r="O103" s="76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59"/>
      <c r="AC103" s="60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84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4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2"/>
      <c r="BT103" s="84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5"/>
      <c r="CH103" s="85"/>
      <c r="CI103" s="85"/>
      <c r="CJ103" s="84"/>
      <c r="CK103" s="85"/>
      <c r="CL103" s="85"/>
      <c r="CM103" s="85"/>
      <c r="CN103" s="85"/>
      <c r="CO103" s="85"/>
      <c r="CP103" s="85"/>
      <c r="CQ103" s="85"/>
      <c r="CR103" s="85"/>
      <c r="CS103" s="85"/>
      <c r="CT103" s="85"/>
      <c r="CU103" s="85"/>
      <c r="CV103" s="85"/>
      <c r="CW103" s="85"/>
      <c r="CZ103" s="91"/>
      <c r="DB103" s="85"/>
      <c r="DC103" s="85"/>
      <c r="DG103" s="85"/>
      <c r="DH103" s="85"/>
      <c r="DI103" s="88"/>
      <c r="DL103" s="99"/>
      <c r="DM103" s="85"/>
      <c r="DN103" s="85"/>
      <c r="DO103" s="101"/>
      <c r="DQ103" s="99"/>
      <c r="DR103" s="85"/>
      <c r="DS103" s="85"/>
      <c r="DT103" s="101"/>
    </row>
    <row r="104" spans="1:125" ht="16" x14ac:dyDescent="0.2">
      <c r="A104" s="67" t="s">
        <v>91</v>
      </c>
      <c r="B104" s="73">
        <v>1.4</v>
      </c>
      <c r="C104" s="73">
        <v>9.2195444572928872E-2</v>
      </c>
      <c r="D104" s="126">
        <f t="shared" ref="D104:D118" si="270">C104*100/B104</f>
        <v>6.5853888980663484</v>
      </c>
      <c r="E104" s="72">
        <f t="shared" ref="E104:E118" si="271">B104/(100-B104)</f>
        <v>1.4198782961460446E-2</v>
      </c>
      <c r="F104" s="64">
        <f t="shared" ref="F104:F118" si="272">G104^2</f>
        <v>5.9498450922460107</v>
      </c>
      <c r="G104" s="73">
        <v>2.4392304303296175</v>
      </c>
      <c r="H104" s="73">
        <v>7.9758019758450344E-2</v>
      </c>
      <c r="I104" s="126">
        <f>H104*100/G104</f>
        <v>3.2698025888301379</v>
      </c>
      <c r="J104" s="70">
        <v>1200</v>
      </c>
      <c r="K104" s="70">
        <v>300</v>
      </c>
      <c r="L104" s="73">
        <v>0.13328067995740123</v>
      </c>
      <c r="M104" s="70">
        <v>2.2999999999999998</v>
      </c>
      <c r="N104" s="64">
        <f t="shared" ref="N104:N118" si="273">M104+2*LOG(L104)</f>
        <v>0.54953439941284965</v>
      </c>
      <c r="O104" s="77">
        <v>52.659214407973458</v>
      </c>
      <c r="P104" s="78">
        <v>0.68493170179367979</v>
      </c>
      <c r="Q104" s="78">
        <v>16.205134516278594</v>
      </c>
      <c r="R104" s="78">
        <v>8.0386687893934727</v>
      </c>
      <c r="S104" s="78">
        <v>0.21001004141929622</v>
      </c>
      <c r="T104" s="78">
        <v>4.5802189985732218</v>
      </c>
      <c r="U104" s="78">
        <v>7.9365080735769071</v>
      </c>
      <c r="V104" s="78">
        <v>5.3890226304472417</v>
      </c>
      <c r="W104" s="78">
        <v>3.0075312267672838</v>
      </c>
      <c r="X104" s="78">
        <v>1.2887596137768444</v>
      </c>
      <c r="Y104" s="73">
        <f>SUM(O104:X104)</f>
        <v>99.999999999999986</v>
      </c>
      <c r="Z104" s="73">
        <v>8.396553857214526</v>
      </c>
      <c r="AA104" s="73">
        <v>0.44819845899821742</v>
      </c>
      <c r="AB104" s="59">
        <f t="shared" ref="AB104:AB118" si="274">(R104-AC104)*1.11</f>
        <v>2.5665793896322611</v>
      </c>
      <c r="AC104" s="60">
        <f t="shared" ref="AC104:AC118" si="275">R104*1.11/(AA104+1.11)</f>
        <v>5.7264351050400846</v>
      </c>
      <c r="AD104" s="57">
        <f t="shared" ref="AD104:AD118" si="276">100-R104+AB104+AC104</f>
        <v>100.25434570527888</v>
      </c>
      <c r="AE104" s="57"/>
      <c r="AF104" s="57">
        <f t="shared" ref="AF104:AF118" si="277">O104*(100-$B104)/100</f>
        <v>51.921985406261825</v>
      </c>
      <c r="AG104" s="57">
        <f t="shared" ref="AG104:AG118" si="278">P104*(100-$B104)/100</f>
        <v>0.67534265796856829</v>
      </c>
      <c r="AH104" s="57">
        <f t="shared" ref="AH104:AH118" si="279">Q104*(100-$B104)/100</f>
        <v>15.978262633050692</v>
      </c>
      <c r="AI104" s="57">
        <f t="shared" ref="AI104:AI118" si="280">R104*(100-$B104)/100</f>
        <v>7.9261274263419637</v>
      </c>
      <c r="AJ104" s="57">
        <f t="shared" ref="AJ104:AJ118" si="281">S104*(100-$B104)/100</f>
        <v>0.20706990083942606</v>
      </c>
      <c r="AK104" s="57">
        <f t="shared" ref="AK104:AK118" si="282">T104*(100-$B104)/100</f>
        <v>4.5160959325931964</v>
      </c>
      <c r="AL104" s="57">
        <f t="shared" ref="AL104:AL118" si="283">U104*(100-$B104)/100</f>
        <v>7.8253969605468292</v>
      </c>
      <c r="AM104" s="57">
        <f t="shared" ref="AM104:AM118" si="284">V104*(100-$B104)/100</f>
        <v>5.3135763136209802</v>
      </c>
      <c r="AN104" s="57">
        <f t="shared" ref="AN104:AN118" si="285">W104*(100-$B104)/100</f>
        <v>2.9654257895925418</v>
      </c>
      <c r="AO104" s="57">
        <f t="shared" ref="AO104:AO118" si="286">X104*(100-$B104)/100</f>
        <v>1.2707169791839685</v>
      </c>
      <c r="AP104" s="57">
        <f>SUM(AF104:AO104)</f>
        <v>98.600000000000009</v>
      </c>
      <c r="AQ104" s="57"/>
      <c r="AR104" s="84">
        <f t="shared" ref="AR104:AR118" si="287">O104*(100-$B104)/$AD104</f>
        <v>51.790259106471716</v>
      </c>
      <c r="AS104" s="85">
        <f t="shared" ref="AS104:AS118" si="288">P104*(100-$B104)/$AD104</f>
        <v>0.67362931074718313</v>
      </c>
      <c r="AT104" s="85">
        <f t="shared" ref="AT104:AT118" si="289">Q104*(100-$B104)/$AD104</f>
        <v>15.937725712182628</v>
      </c>
      <c r="AU104" s="85">
        <f t="shared" ref="AU104:AU118" si="290">R104*(100-$B104)/$AD104</f>
        <v>7.9060188070476975</v>
      </c>
      <c r="AV104" s="85">
        <f t="shared" ref="AV104:AV118" si="291">S104*(100-$B104)/$AD104</f>
        <v>0.20654456361239096</v>
      </c>
      <c r="AW104" s="85">
        <f t="shared" ref="AW104:AW118" si="292">T104*(100-$B104)/$AD104</f>
        <v>4.5046385778321447</v>
      </c>
      <c r="AX104" s="85">
        <f t="shared" ref="AX104:AX118" si="293">U104*(100-$B104)/$AD104</f>
        <v>7.8055438948765534</v>
      </c>
      <c r="AY104" s="85">
        <f t="shared" ref="AY104:AY118" si="294">V104*(100-$B104)/$AD104</f>
        <v>5.3000957477110084</v>
      </c>
      <c r="AZ104" s="85">
        <f t="shared" ref="AZ104:AZ118" si="295">W104*(100-$B104)/$AD104</f>
        <v>2.9579024916387215</v>
      </c>
      <c r="BA104" s="85">
        <f t="shared" ref="BA104:BA118" si="296">X104*(100-$B104)/$AD104</f>
        <v>1.2674931647547116</v>
      </c>
      <c r="BB104" s="85">
        <f>SUM(AR104:BA104)</f>
        <v>98.349851376874753</v>
      </c>
      <c r="BC104" s="85">
        <f t="shared" ref="BC104:BC118" si="297">AB104*(100-$B104)/$AD104</f>
        <v>2.5242270151728281</v>
      </c>
      <c r="BD104" s="85">
        <f t="shared" ref="BD104:BD118" si="298">AC104*(100-$B104)/$AD104</f>
        <v>5.6319404150001047</v>
      </c>
      <c r="BE104" s="85">
        <f t="shared" ref="BE104:BE118" si="299">BB104+BC104+BD104+B104-AU104</f>
        <v>99.999999999999986</v>
      </c>
      <c r="BF104" s="84">
        <f t="shared" ref="BF104:BF118" si="300">AR104*100/(100-$B104)</f>
        <v>52.525617755042305</v>
      </c>
      <c r="BG104" s="85">
        <f t="shared" ref="BG104:BG118" si="301">AS104*100/(100-$B104)</f>
        <v>0.68319402712696065</v>
      </c>
      <c r="BH104" s="85">
        <f t="shared" ref="BH104:BH118" si="302">AT104*100/(100-$B104)</f>
        <v>16.164022020469197</v>
      </c>
      <c r="BI104" s="85">
        <f t="shared" ref="BI104:BI118" si="303">BC104*100/(100-$B104)</f>
        <v>2.5600679667067223</v>
      </c>
      <c r="BJ104" s="85">
        <f t="shared" ref="BJ104:BJ118" si="304">BD104*100/(100-$B104)</f>
        <v>5.7119071146045695</v>
      </c>
      <c r="BK104" s="85">
        <f t="shared" ref="BK104:BK118" si="305">AV104*100/(100-$B104)</f>
        <v>0.20947724504299287</v>
      </c>
      <c r="BL104" s="85">
        <f t="shared" ref="BL104:BL118" si="306">AW104*100/(100-$B104)</f>
        <v>4.568598963318605</v>
      </c>
      <c r="BM104" s="85">
        <f t="shared" ref="BM104:BM118" si="307">AX104*100/(100-$B104)</f>
        <v>7.9163731185360593</v>
      </c>
      <c r="BN104" s="85">
        <f t="shared" ref="BN104:BN118" si="308">AY104*100/(100-$B104)</f>
        <v>5.3753506569077167</v>
      </c>
      <c r="BO104" s="85">
        <f t="shared" ref="BO104:BO118" si="309">AZ104*100/(100-$B104)</f>
        <v>2.9999011071386628</v>
      </c>
      <c r="BP104" s="85">
        <f t="shared" ref="BP104:BP118" si="310">BA104*100/(100-$B104)</f>
        <v>1.2854900251061985</v>
      </c>
      <c r="BQ104" s="85">
        <f>SUM(BF104:BP104)</f>
        <v>100</v>
      </c>
      <c r="BR104" s="85"/>
      <c r="BS104" s="82">
        <f>AR104/Weights!$B$5*2+AS104/Weights!$B$7*2+AT104/Weights!$B$8*3+'Data and calc.'!BC104/Weights!$B$20*3+'Data and calc.'!BD104/Weights!$B$10+'Data and calc.'!AV104/Weights!$B$11+'Data and calc.'!AW104/Weights!$B$13+'Data and calc.'!AX104/Weights!$B$14+'Data and calc.'!AY104/Weights!$B$15+AZ104/Weights!$B$16+B104/Weights!$B$19+'Data and calc.'!BA104/Weights!$B$6*5</f>
        <v>2.8287290357778292</v>
      </c>
      <c r="BT104" s="84">
        <f>AR104/Weights!$B$5*8/'Data and calc.'!$BS104</f>
        <v>2.4377833875249619</v>
      </c>
      <c r="BU104" s="85">
        <f>AS104/Weights!$B$7*8/'Data and calc.'!$BS104</f>
        <v>2.3854104553028894E-2</v>
      </c>
      <c r="BV104" s="85">
        <f>AT104/Weights!$B$8*8/'Data and calc.'!$BS104*2</f>
        <v>0.88414771302011652</v>
      </c>
      <c r="BW104" s="85">
        <f>BC104/Weights!$B$20*8/'Data and calc.'!$BS104*2</f>
        <v>8.9410285722544544E-2</v>
      </c>
      <c r="BX104" s="85">
        <f>BD104/Weights!$B$10*8/'Data and calc.'!$BS104</f>
        <v>0.2217002515349657</v>
      </c>
      <c r="BY104" s="85">
        <f>AV104/Weights!$B$11*8/'Data and calc.'!$BS104</f>
        <v>8.2345395554312521E-3</v>
      </c>
      <c r="BZ104" s="85">
        <f>AW104/Weights!$B$13*8/'Data and calc.'!$BS104</f>
        <v>0.31608976989359688</v>
      </c>
      <c r="CA104" s="85">
        <f>AX104/Weights!$B$14*8/'Data and calc.'!$BS104</f>
        <v>0.39365614685832828</v>
      </c>
      <c r="CB104" s="85">
        <f>AY104/Weights!$B$15*8/'Data and calc.'!$BS104*2</f>
        <v>0.48369435415058021</v>
      </c>
      <c r="CC104" s="85">
        <f>AZ104/Weights!$B$16*8/'Data and calc.'!$BS104*2</f>
        <v>0.17761591224272039</v>
      </c>
      <c r="CD104" s="85">
        <f>BA104/Weights!$B$6*8/'Data and calc.'!$BS104*2</f>
        <v>5.0508012628958723E-2</v>
      </c>
      <c r="CE104" s="85">
        <f>B104/Weights!$B$19*8/'Data and calc.'!$BS104*2</f>
        <v>0.43956429023731752</v>
      </c>
      <c r="CF104" s="85">
        <f>SUM(BT104:BW104)*4</f>
        <v>13.740781963282609</v>
      </c>
      <c r="CG104" s="85">
        <f>(16-CF104)/SUM(BT104:BW104)</f>
        <v>0.65766796758855606</v>
      </c>
      <c r="CH104" s="85">
        <f>CE104/SUM(BT104:CD104)</f>
        <v>8.6414525614942561E-2</v>
      </c>
      <c r="CI104" s="85">
        <f>AR104/Weights!$B$5*2+AS104/Weights!$B$7*2+AT104/Weights!$B$8*3+'Data and calc.'!BC104/Weights!$B$20*3+'Data and calc.'!BD104/Weights!$B$10+'Data and calc.'!AV104/Weights!$B$11+'Data and calc.'!AW104/Weights!$B$13+'Data and calc.'!AX104/Weights!$B$14+'Data and calc.'!AY104/Weights!$B$15+AZ104/Weights!$B$16+'Data and calc.'!BA104/Weights!$B$6*5</f>
        <v>2.7510160188474932</v>
      </c>
      <c r="CJ104" s="84">
        <f>AR104/Weights!$B$5*8/'Data and calc.'!$CI104</f>
        <v>2.5066479453353474</v>
      </c>
      <c r="CK104" s="85">
        <f>AS104/Weights!$B$7*8/'Data and calc.'!$CI104</f>
        <v>2.4527955384244394E-2</v>
      </c>
      <c r="CL104" s="85">
        <f>AT104/Weights!$B$8*8/'Data and calc.'!$CI104*2</f>
        <v>0.90912386209380869</v>
      </c>
      <c r="CM104" s="85">
        <f>BC104/Weights!$B$20*8/'Data and calc.'!$CI104*2</f>
        <v>9.1936022759515054E-2</v>
      </c>
      <c r="CN104" s="85">
        <f>BD104/Weights!$B$10*8/'Data and calc.'!$CI104</f>
        <v>0.22796302691793655</v>
      </c>
      <c r="CO104" s="85">
        <f>AV104/Weights!$B$11*8/'Data and calc.'!$CI104</f>
        <v>8.4671557624982109E-3</v>
      </c>
      <c r="CP104" s="85">
        <f>AW104/Weights!$B$13*8/'Data and calc.'!$CI104</f>
        <v>0.32501893986969105</v>
      </c>
      <c r="CQ104" s="85">
        <f>AX104/Weights!$B$14*8/'Data and calc.'!$CI104</f>
        <v>0.40477647716391052</v>
      </c>
      <c r="CR104" s="85">
        <f>AY104/Weights!$B$15*8/'Data and calc.'!$CI104*2</f>
        <v>0.49735815955036106</v>
      </c>
      <c r="CS104" s="85">
        <f>AZ104/Weights!$B$16*8/'Data and calc.'!$CI104*2</f>
        <v>0.18263335608915726</v>
      </c>
      <c r="CT104" s="85">
        <f>BA104/Weights!$B$6*8/'Data and calc.'!$CI104*2</f>
        <v>5.1934805498814962E-2</v>
      </c>
      <c r="CU104" s="85">
        <f>CJ104*2+CK104*2+CL104*1.5+CM104*1.5+CN104+CO104+CP104+CQ104+CR104*0.5+CS104*0.5+CT104*2.5</f>
        <v>8.0000000000000018</v>
      </c>
      <c r="CV104" s="85">
        <f>SUM(CJ104:CM104)*4</f>
        <v>14.128943142291662</v>
      </c>
      <c r="CW104" s="85">
        <f>(16-CV104)/SUM(CJ104:CM104)</f>
        <v>0.5297089354426715</v>
      </c>
      <c r="CX104" s="113"/>
      <c r="CY104" s="90">
        <f t="shared" ref="CY104:CY118" si="311">$CZ$2*G104+$DB$2</f>
        <v>1.7331774005138006E-2</v>
      </c>
      <c r="CZ104" s="91">
        <f>100*CY104/(1+CY104)</f>
        <v>1.7036501216220219</v>
      </c>
      <c r="DA104" s="85">
        <f t="shared" ref="DA104:DA118" si="312">CZ104-B104</f>
        <v>0.30365012162202198</v>
      </c>
      <c r="DB104" s="85">
        <f>ABS(DA104)</f>
        <v>0.30365012162202198</v>
      </c>
      <c r="DC104" s="85"/>
      <c r="DD104" s="117"/>
      <c r="DE104" s="97"/>
      <c r="DF104" s="91">
        <f t="shared" ref="DF104:DF118" si="313">$DF$2*G104^2 + $DH$2*G104 +$DJ$2</f>
        <v>1.7071043731743132</v>
      </c>
      <c r="DG104" s="85">
        <f t="shared" ref="DG104:DG118" si="314">DF104-B104</f>
        <v>0.30710437317431327</v>
      </c>
      <c r="DH104" s="85">
        <f>ABS(DG104)</f>
        <v>0.30710437317431327</v>
      </c>
      <c r="DI104" s="85">
        <f>DG104^2</f>
        <v>9.4313096022787868E-2</v>
      </c>
      <c r="DJ104" s="85"/>
      <c r="DK104" s="117"/>
      <c r="DL104" s="99">
        <f>'Eq. 3 coef.'!$B$15+'Eq. 3 coef.'!$B$16*'Data and calc.'!G104^2+'Eq. 3 coef.'!$B$17*'Data and calc.'!G104+'Eq. 3 coef.'!$B$18*'Data and calc.'!BF104+'Eq. 3 coef.'!$B$19*'Data and calc.'!BG104+'Eq. 3 coef.'!$B$20*'Data and calc.'!BH104+'Eq. 3 coef.'!$B$21*'Data and calc.'!BI104+'Eq. 3 coef.'!$B$22*'Data and calc.'!BJ104+'Eq. 3 coef.'!$B$23*'Data and calc.'!BK104+'Eq. 3 coef.'!$B$24*'Data and calc.'!BL104+'Eq. 3 coef.'!$B$25*'Data and calc.'!BM104+'Eq. 3 coef.'!$B$26*'Data and calc.'!BN104+'Eq. 3 coef.'!$B$27*'Data and calc.'!BO104+'Eq. 3 coef.'!$B$28*'Data and calc.'!BP104</f>
        <v>1.4011178971704794</v>
      </c>
      <c r="DM104" s="85">
        <f t="shared" ref="DM104:DM118" si="315">DL104-B104</f>
        <v>1.1178971704794982E-3</v>
      </c>
      <c r="DN104" s="85">
        <f>ABS(DM104)</f>
        <v>1.1178971704794982E-3</v>
      </c>
      <c r="DO104" s="85"/>
      <c r="DP104" s="117"/>
      <c r="DQ104" s="99">
        <f>'Eq. 4 coef.'!$B$15+'Eq. 4 coef.'!$B$16*'Data and calc.'!G104^2+'Eq. 4 coef.'!$B$17*'Data and calc.'!G104+'Eq. 4 coef.'!$B$18*'Data and calc.'!O104+'Eq. 4 coef.'!$B$19*'Data and calc.'!P104+'Eq. 4 coef.'!$B$20*'Data and calc.'!Q104+'Eq. 4 coef.'!$B$21*'Data and calc.'!R104+'Eq. 4 coef.'!$B$22*'Data and calc.'!S104+'Eq. 4 coef.'!$B$23*'Data and calc.'!T104+'Eq. 4 coef.'!$B$24*'Data and calc.'!U104+'Eq. 4 coef.'!$B$25*'Data and calc.'!V104+'Eq. 4 coef.'!$B$26*'Data and calc.'!W104+'Eq. 4 coef.'!$B$27*'Data and calc.'!X104</f>
        <v>1.4198694385258932</v>
      </c>
      <c r="DR104" s="85">
        <f t="shared" ref="DR104:DR118" si="316">DQ104-B104</f>
        <v>1.986943852589329E-2</v>
      </c>
      <c r="DS104" s="94">
        <f t="shared" ref="DS104:DS118" si="317">ABS(DR104)</f>
        <v>1.986943852589329E-2</v>
      </c>
      <c r="DT104" s="85"/>
    </row>
    <row r="105" spans="1:125" ht="15" x14ac:dyDescent="0.2">
      <c r="A105" s="67" t="s">
        <v>87</v>
      </c>
      <c r="B105" s="73">
        <v>3.0249999999999999</v>
      </c>
      <c r="C105" s="73">
        <v>9.4868329805051374E-2</v>
      </c>
      <c r="D105" s="126">
        <f t="shared" si="270"/>
        <v>3.1361431340512853</v>
      </c>
      <c r="E105" s="72">
        <f t="shared" si="271"/>
        <v>3.1193606599639084E-2</v>
      </c>
      <c r="F105" s="64">
        <f t="shared" si="272"/>
        <v>15.972866153379528</v>
      </c>
      <c r="G105" s="73">
        <v>3.9966068299720861</v>
      </c>
      <c r="H105" s="73">
        <v>0.17326449594753263</v>
      </c>
      <c r="I105" s="126">
        <f>H105*100/G105</f>
        <v>4.3352899927047064</v>
      </c>
      <c r="J105" s="70">
        <v>1250</v>
      </c>
      <c r="K105" s="70">
        <v>300</v>
      </c>
      <c r="L105" s="73">
        <v>0.36815278777667365</v>
      </c>
      <c r="M105" s="70">
        <v>2.2999999999999998</v>
      </c>
      <c r="N105" s="64">
        <f t="shared" si="273"/>
        <v>1.4320561868979773</v>
      </c>
      <c r="O105" s="76">
        <v>61.377858153347262</v>
      </c>
      <c r="P105" s="73">
        <v>0.76707005962843944</v>
      </c>
      <c r="Q105" s="73">
        <v>18.289830097736463</v>
      </c>
      <c r="R105" s="73">
        <v>3.2239644380329446</v>
      </c>
      <c r="S105" s="73">
        <v>0.21145365112316747</v>
      </c>
      <c r="T105" s="73">
        <v>0.59476927914589295</v>
      </c>
      <c r="U105" s="73">
        <v>1.6335084325215721</v>
      </c>
      <c r="V105" s="73">
        <v>8.3165697945662398</v>
      </c>
      <c r="W105" s="73">
        <v>5.5024313444188371</v>
      </c>
      <c r="X105" s="73">
        <v>8.2544749479169136E-2</v>
      </c>
      <c r="Y105" s="73">
        <f>SUM(O105:X105)</f>
        <v>99.999999999999986</v>
      </c>
      <c r="Z105" s="73">
        <v>13.819001138985076</v>
      </c>
      <c r="AA105" s="73">
        <v>0.9508187878786869</v>
      </c>
      <c r="AB105" s="59">
        <f t="shared" si="274"/>
        <v>1.651091612058599</v>
      </c>
      <c r="AC105" s="60">
        <f t="shared" si="275"/>
        <v>1.7364945172594322</v>
      </c>
      <c r="AD105" s="57">
        <f t="shared" si="276"/>
        <v>100.16362169128507</v>
      </c>
      <c r="AE105" s="57"/>
      <c r="AF105" s="57">
        <f t="shared" si="277"/>
        <v>59.521177944208503</v>
      </c>
      <c r="AG105" s="57">
        <f t="shared" si="278"/>
        <v>0.74386619032467904</v>
      </c>
      <c r="AH105" s="57">
        <f t="shared" si="279"/>
        <v>17.736562737279932</v>
      </c>
      <c r="AI105" s="57">
        <f t="shared" si="280"/>
        <v>3.1264395137824477</v>
      </c>
      <c r="AJ105" s="57">
        <f t="shared" si="281"/>
        <v>0.20505717817669164</v>
      </c>
      <c r="AK105" s="57">
        <f t="shared" si="282"/>
        <v>0.5767775084517297</v>
      </c>
      <c r="AL105" s="57">
        <f t="shared" si="283"/>
        <v>1.5840948024377945</v>
      </c>
      <c r="AM105" s="57">
        <f t="shared" si="284"/>
        <v>8.0649935582806105</v>
      </c>
      <c r="AN105" s="57">
        <f t="shared" si="285"/>
        <v>5.3359827962501676</v>
      </c>
      <c r="AO105" s="57">
        <f t="shared" si="286"/>
        <v>8.0047770807424271E-2</v>
      </c>
      <c r="AP105" s="57">
        <f>SUM(AF105:AO105)</f>
        <v>96.974999999999966</v>
      </c>
      <c r="AQ105" s="57"/>
      <c r="AR105" s="84">
        <f t="shared" si="287"/>
        <v>59.423947476319398</v>
      </c>
      <c r="AS105" s="85">
        <f t="shared" si="288"/>
        <v>0.74265105211286564</v>
      </c>
      <c r="AT105" s="85">
        <f t="shared" si="289"/>
        <v>17.707589280213831</v>
      </c>
      <c r="AU105" s="85">
        <f t="shared" si="290"/>
        <v>3.1213323370219843</v>
      </c>
      <c r="AV105" s="85">
        <f t="shared" si="291"/>
        <v>0.20472220823713791</v>
      </c>
      <c r="AW105" s="85">
        <f t="shared" si="292"/>
        <v>0.57583531696709134</v>
      </c>
      <c r="AX105" s="85">
        <f t="shared" si="293"/>
        <v>1.5815071137504824</v>
      </c>
      <c r="AY105" s="85">
        <f t="shared" si="294"/>
        <v>8.0518190357950292</v>
      </c>
      <c r="AZ105" s="85">
        <f t="shared" si="295"/>
        <v>5.3272662331402447</v>
      </c>
      <c r="BA105" s="85">
        <f t="shared" si="296"/>
        <v>7.9917009245272702E-2</v>
      </c>
      <c r="BB105" s="85">
        <f>SUM(AR105:BA105)</f>
        <v>96.81658706280335</v>
      </c>
      <c r="BC105" s="85">
        <f t="shared" si="297"/>
        <v>1.5985305480753569</v>
      </c>
      <c r="BD105" s="85">
        <f t="shared" si="298"/>
        <v>1.6812147261432848</v>
      </c>
      <c r="BE105" s="85">
        <f t="shared" si="299"/>
        <v>100.00000000000001</v>
      </c>
      <c r="BF105" s="84">
        <f t="shared" si="300"/>
        <v>61.277594716493326</v>
      </c>
      <c r="BG105" s="85">
        <f t="shared" si="301"/>
        <v>0.76581701687328252</v>
      </c>
      <c r="BH105" s="85">
        <f t="shared" si="302"/>
        <v>18.259952854048809</v>
      </c>
      <c r="BI105" s="85">
        <f t="shared" si="303"/>
        <v>1.6483944811295252</v>
      </c>
      <c r="BJ105" s="85">
        <f t="shared" si="304"/>
        <v>1.7336578769201183</v>
      </c>
      <c r="BK105" s="85">
        <f t="shared" si="305"/>
        <v>0.21110823226309658</v>
      </c>
      <c r="BL105" s="85">
        <f t="shared" si="306"/>
        <v>0.59379769731074128</v>
      </c>
      <c r="BM105" s="85">
        <f t="shared" si="307"/>
        <v>1.6308400244913457</v>
      </c>
      <c r="BN105" s="85">
        <f t="shared" si="308"/>
        <v>8.3029843112091051</v>
      </c>
      <c r="BO105" s="85">
        <f t="shared" si="309"/>
        <v>5.493442880268363</v>
      </c>
      <c r="BP105" s="85">
        <f t="shared" si="310"/>
        <v>8.2409908992289463E-2</v>
      </c>
      <c r="BQ105" s="85">
        <f>SUM(BF105:BP105)</f>
        <v>100.00000000000001</v>
      </c>
      <c r="BR105" s="85"/>
      <c r="BS105" s="82">
        <f>AR105/Weights!$B$5*2+AS105/Weights!$B$7*2+AT105/Weights!$B$8*3+'Data and calc.'!BC105/Weights!$B$20*3+'Data and calc.'!BD105/Weights!$B$10+'Data and calc.'!AV105/Weights!$B$11+'Data and calc.'!AW105/Weights!$B$13+'Data and calc.'!AX105/Weights!$B$14+'Data and calc.'!AY105/Weights!$B$15+AZ105/Weights!$B$16+B105/Weights!$B$19+'Data and calc.'!BA105/Weights!$B$6*5</f>
        <v>2.9736818741557536</v>
      </c>
      <c r="BT105" s="84">
        <f>AR105/Weights!$B$5*8/'Data and calc.'!$BS105</f>
        <v>2.6607579612311785</v>
      </c>
      <c r="BU105" s="85">
        <f>AS105/Weights!$B$7*8/'Data and calc.'!$BS105</f>
        <v>2.5016340874196519E-2</v>
      </c>
      <c r="BV105" s="85">
        <f>AT105/Weights!$B$8*8/'Data and calc.'!$BS105*2</f>
        <v>0.93444718999415777</v>
      </c>
      <c r="BW105" s="85">
        <f>BC105/Weights!$B$20*8/'Data and calc.'!$BS105*2</f>
        <v>5.3861302946014759E-2</v>
      </c>
      <c r="BX105" s="85">
        <f>BD105/Weights!$B$10*8/'Data and calc.'!$BS105</f>
        <v>6.295470056084998E-2</v>
      </c>
      <c r="BY105" s="85">
        <f>AV105/Weights!$B$11*8/'Data and calc.'!$BS105</f>
        <v>7.7640326245760147E-3</v>
      </c>
      <c r="BZ105" s="85">
        <f>AW105/Weights!$B$13*8/'Data and calc.'!$BS105</f>
        <v>3.8436658803459735E-2</v>
      </c>
      <c r="CA105" s="85">
        <f>AX105/Weights!$B$14*8/'Data and calc.'!$BS105</f>
        <v>7.5872057134975607E-2</v>
      </c>
      <c r="CB105" s="85">
        <f>AY105/Weights!$B$15*8/'Data and calc.'!$BS105*2</f>
        <v>0.69900156988959106</v>
      </c>
      <c r="CC105" s="85">
        <f>AZ105/Weights!$B$16*8/'Data and calc.'!$BS105*2</f>
        <v>0.3042981146854688</v>
      </c>
      <c r="CD105" s="85">
        <f>BA105/Weights!$B$6*8/'Data and calc.'!$BS105*2</f>
        <v>3.0293588369287856E-3</v>
      </c>
      <c r="CE105" s="85">
        <f>B105/Weights!$B$19*8/'Data and calc.'!$BS105*2</f>
        <v>0.90347593575055185</v>
      </c>
      <c r="CF105" s="85">
        <f>SUM(BT105:BW105)*4</f>
        <v>14.69633118018219</v>
      </c>
      <c r="CG105" s="85">
        <f>(16-CF105)/SUM(BT105:BW105)</f>
        <v>0.35482837283247687</v>
      </c>
      <c r="CH105" s="85">
        <f>CE105/SUM(BT105:CD105)</f>
        <v>0.18569257210887291</v>
      </c>
      <c r="CI105" s="85">
        <f>AR105/Weights!$B$5*2+AS105/Weights!$B$7*2+AT105/Weights!$B$8*3+'Data and calc.'!BC105/Weights!$B$20*3+'Data and calc.'!BD105/Weights!$B$10+'Data and calc.'!AV105/Weights!$B$11+'Data and calc.'!AW105/Weights!$B$13+'Data and calc.'!AX105/Weights!$B$14+'Data and calc.'!AY105/Weights!$B$15+AZ105/Weights!$B$16+'Data and calc.'!BA105/Weights!$B$6*5</f>
        <v>2.8057662482884207</v>
      </c>
      <c r="CJ105" s="84">
        <f>AR105/Weights!$B$5*8/'Data and calc.'!$CI105</f>
        <v>2.8199953312773003</v>
      </c>
      <c r="CK105" s="85">
        <f>AS105/Weights!$B$7*8/'Data and calc.'!$CI105</f>
        <v>2.6513484314910345E-2</v>
      </c>
      <c r="CL105" s="85">
        <f>AT105/Weights!$B$8*8/'Data and calc.'!$CI105*2</f>
        <v>0.99037069568304292</v>
      </c>
      <c r="CM105" s="85">
        <f>BC105/Weights!$B$20*8/'Data and calc.'!$CI105*2</f>
        <v>5.7084719864557855E-2</v>
      </c>
      <c r="CN105" s="85">
        <f>BD105/Weights!$B$10*8/'Data and calc.'!$CI105</f>
        <v>6.6722326589003331E-2</v>
      </c>
      <c r="CO105" s="85">
        <f>AV105/Weights!$B$11*8/'Data and calc.'!$CI105</f>
        <v>8.2286837330585415E-3</v>
      </c>
      <c r="CP105" s="85">
        <f>AW105/Weights!$B$13*8/'Data and calc.'!$CI105</f>
        <v>4.0736962908682048E-2</v>
      </c>
      <c r="CQ105" s="85">
        <f>AX105/Weights!$B$14*8/'Data and calc.'!$CI105</f>
        <v>8.0412743290649916E-2</v>
      </c>
      <c r="CR105" s="85">
        <f>AY105/Weights!$B$15*8/'Data and calc.'!$CI105*2</f>
        <v>0.74083445107199863</v>
      </c>
      <c r="CS105" s="85">
        <f>AZ105/Weights!$B$16*8/'Data and calc.'!$CI105*2</f>
        <v>0.32250932825638895</v>
      </c>
      <c r="CT105" s="85">
        <f>BA105/Weights!$B$6*8/'Data and calc.'!$CI105*2</f>
        <v>3.2106557234352568E-3</v>
      </c>
      <c r="CU105" s="85">
        <f>CJ105*2+CK105*2+CL105*1.5+CM105*1.5+CN105+CO105+CP105+CQ105+CR105*0.5+CS105*0.5+CT105*2.5</f>
        <v>7.9999999999999991</v>
      </c>
      <c r="CV105" s="85">
        <f>SUM(CJ105:CM105)*4</f>
        <v>15.575856924559247</v>
      </c>
      <c r="CW105" s="85">
        <f>(16-CV105)/SUM(CJ105:CM105)</f>
        <v>0.10892320788385906</v>
      </c>
      <c r="CX105" s="113"/>
      <c r="CY105" s="90">
        <f t="shared" si="311"/>
        <v>3.0740784806059657E-2</v>
      </c>
      <c r="CZ105" s="91">
        <f>100*CY105/(1+CY105)</f>
        <v>2.9823972485811483</v>
      </c>
      <c r="DA105" s="85">
        <f t="shared" si="312"/>
        <v>-4.2602751418851614E-2</v>
      </c>
      <c r="DB105" s="85">
        <f t="shared" ref="DB105:DB123" si="318">ABS(DA105)</f>
        <v>4.2602751418851614E-2</v>
      </c>
      <c r="DC105" s="85"/>
      <c r="DD105" s="117"/>
      <c r="DE105" s="97"/>
      <c r="DF105" s="91">
        <f t="shared" si="313"/>
        <v>2.9950195231184713</v>
      </c>
      <c r="DG105" s="85">
        <f t="shared" si="314"/>
        <v>-2.9980476881528606E-2</v>
      </c>
      <c r="DH105" s="85">
        <f t="shared" ref="DH105:DH118" si="319">ABS(DG105)</f>
        <v>2.9980476881528606E-2</v>
      </c>
      <c r="DI105" s="85">
        <f t="shared" ref="DI105:DI118" si="320">DG105^2</f>
        <v>8.9882899404387126E-4</v>
      </c>
      <c r="DJ105" s="85"/>
      <c r="DK105" s="117"/>
      <c r="DL105" s="99">
        <f>'Eq. 3 coef.'!$B$15+'Eq. 3 coef.'!$B$16*'Data and calc.'!G105^2+'Eq. 3 coef.'!$B$17*'Data and calc.'!G105+'Eq. 3 coef.'!$B$18*'Data and calc.'!BF105+'Eq. 3 coef.'!$B$19*'Data and calc.'!BG105+'Eq. 3 coef.'!$B$20*'Data and calc.'!BH105+'Eq. 3 coef.'!$B$21*'Data and calc.'!BI105+'Eq. 3 coef.'!$B$22*'Data and calc.'!BJ105+'Eq. 3 coef.'!$B$23*'Data and calc.'!BK105+'Eq. 3 coef.'!$B$24*'Data and calc.'!BL105+'Eq. 3 coef.'!$B$25*'Data and calc.'!BM105+'Eq. 3 coef.'!$B$26*'Data and calc.'!BN105+'Eq. 3 coef.'!$B$27*'Data and calc.'!BO105+'Eq. 3 coef.'!$B$28*'Data and calc.'!BP105</f>
        <v>3.0391258603015103</v>
      </c>
      <c r="DM105" s="85">
        <f t="shared" si="315"/>
        <v>1.4125860301510418E-2</v>
      </c>
      <c r="DN105" s="85">
        <f>ABS(DM105)</f>
        <v>1.4125860301510418E-2</v>
      </c>
      <c r="DO105" s="85"/>
      <c r="DP105" s="117"/>
      <c r="DQ105" s="99">
        <f>'Eq. 4 coef.'!$B$15+'Eq. 4 coef.'!$B$16*'Data and calc.'!G105^2+'Eq. 4 coef.'!$B$17*'Data and calc.'!G105+'Eq. 4 coef.'!$B$18*'Data and calc.'!O105+'Eq. 4 coef.'!$B$19*'Data and calc.'!P105+'Eq. 4 coef.'!$B$20*'Data and calc.'!Q105+'Eq. 4 coef.'!$B$21*'Data and calc.'!R105+'Eq. 4 coef.'!$B$22*'Data and calc.'!S105+'Eq. 4 coef.'!$B$23*'Data and calc.'!T105+'Eq. 4 coef.'!$B$24*'Data and calc.'!U105+'Eq. 4 coef.'!$B$25*'Data and calc.'!V105+'Eq. 4 coef.'!$B$26*'Data and calc.'!W105+'Eq. 4 coef.'!$B$27*'Data and calc.'!X105</f>
        <v>3.0048547217143664</v>
      </c>
      <c r="DR105" s="85">
        <f t="shared" si="316"/>
        <v>-2.0145278285633506E-2</v>
      </c>
      <c r="DS105" s="94">
        <f t="shared" si="317"/>
        <v>2.0145278285633506E-2</v>
      </c>
      <c r="DT105" s="85"/>
    </row>
    <row r="106" spans="1:125" ht="15" x14ac:dyDescent="0.2">
      <c r="A106" s="66" t="s">
        <v>594</v>
      </c>
      <c r="B106" s="73">
        <v>1.37</v>
      </c>
      <c r="C106" s="73">
        <v>0.24</v>
      </c>
      <c r="D106" s="126">
        <f t="shared" si="270"/>
        <v>17.518248175182482</v>
      </c>
      <c r="E106" s="72">
        <f t="shared" si="271"/>
        <v>1.3890297069857043E-2</v>
      </c>
      <c r="F106" s="64">
        <f t="shared" si="272"/>
        <v>5.2031259396121143</v>
      </c>
      <c r="G106" s="73">
        <v>2.2810361548235298</v>
      </c>
      <c r="H106" s="73">
        <v>6.8361158048852483E-2</v>
      </c>
      <c r="I106" s="126">
        <f>H106*100/G106</f>
        <v>2.9969344371983961</v>
      </c>
      <c r="J106" s="70">
        <v>1180</v>
      </c>
      <c r="K106" s="70">
        <v>203</v>
      </c>
      <c r="L106" s="73">
        <v>0.16847308329370234</v>
      </c>
      <c r="M106" s="70">
        <v>2.6</v>
      </c>
      <c r="N106" s="64">
        <f t="shared" si="273"/>
        <v>1.0530610482687692</v>
      </c>
      <c r="O106" s="76">
        <v>49.942453737648243</v>
      </c>
      <c r="P106" s="73">
        <v>1.3430712416673951</v>
      </c>
      <c r="Q106" s="73">
        <v>17.970772821751208</v>
      </c>
      <c r="R106" s="73">
        <v>8.3217276659289805</v>
      </c>
      <c r="S106" s="73">
        <v>0.15625945931401891</v>
      </c>
      <c r="T106" s="73">
        <v>7.0682146869093181</v>
      </c>
      <c r="U106" s="73">
        <v>12.315048128989726</v>
      </c>
      <c r="V106" s="73">
        <v>2.6762879801968213</v>
      </c>
      <c r="W106" s="73">
        <v>0.20616427759429046</v>
      </c>
      <c r="X106" s="73">
        <v>0</v>
      </c>
      <c r="Y106" s="73">
        <f>SUM(O106:X106)</f>
        <v>100</v>
      </c>
      <c r="Z106" s="73">
        <v>2.8824522577911118</v>
      </c>
      <c r="AA106" s="73">
        <v>0.68595815885875955</v>
      </c>
      <c r="AB106" s="59">
        <f t="shared" si="274"/>
        <v>3.5280756546009622</v>
      </c>
      <c r="AC106" s="60">
        <f t="shared" si="275"/>
        <v>5.1432811302524382</v>
      </c>
      <c r="AD106" s="57">
        <f t="shared" si="276"/>
        <v>100.34962911892443</v>
      </c>
      <c r="AE106" s="57"/>
      <c r="AF106" s="57">
        <f t="shared" si="277"/>
        <v>49.258242121442464</v>
      </c>
      <c r="AG106" s="57">
        <f t="shared" si="278"/>
        <v>1.3246711656565517</v>
      </c>
      <c r="AH106" s="57">
        <f t="shared" si="279"/>
        <v>17.724573234093217</v>
      </c>
      <c r="AI106" s="57">
        <f t="shared" si="280"/>
        <v>8.2077199969057535</v>
      </c>
      <c r="AJ106" s="57">
        <f t="shared" si="281"/>
        <v>0.15411870472141684</v>
      </c>
      <c r="AK106" s="57">
        <f t="shared" si="282"/>
        <v>6.9713801456986593</v>
      </c>
      <c r="AL106" s="57">
        <f t="shared" si="283"/>
        <v>12.146331969622567</v>
      </c>
      <c r="AM106" s="57">
        <f t="shared" si="284"/>
        <v>2.6396228348681245</v>
      </c>
      <c r="AN106" s="57">
        <f t="shared" si="285"/>
        <v>0.20333982699124867</v>
      </c>
      <c r="AO106" s="57">
        <f t="shared" si="286"/>
        <v>0</v>
      </c>
      <c r="AP106" s="57">
        <f>SUM(AF106:AO106)</f>
        <v>98.63</v>
      </c>
      <c r="AQ106" s="57"/>
      <c r="AR106" s="84">
        <f t="shared" si="287"/>
        <v>49.086621000927153</v>
      </c>
      <c r="AS106" s="85">
        <f t="shared" si="288"/>
        <v>1.3200558659630748</v>
      </c>
      <c r="AT106" s="85">
        <f t="shared" si="289"/>
        <v>17.662818876079562</v>
      </c>
      <c r="AU106" s="85">
        <f t="shared" si="290"/>
        <v>8.1791233998271959</v>
      </c>
      <c r="AV106" s="85">
        <f t="shared" si="291"/>
        <v>0.15358173824316843</v>
      </c>
      <c r="AW106" s="85">
        <f t="shared" si="292"/>
        <v>6.9470910923216982</v>
      </c>
      <c r="AX106" s="85">
        <f t="shared" si="293"/>
        <v>12.104012816258583</v>
      </c>
      <c r="AY106" s="85">
        <f t="shared" si="294"/>
        <v>2.6304260992732771</v>
      </c>
      <c r="AZ106" s="85">
        <f t="shared" si="295"/>
        <v>0.20263136872212101</v>
      </c>
      <c r="BA106" s="85">
        <f t="shared" si="296"/>
        <v>0</v>
      </c>
      <c r="BB106" s="85">
        <f>SUM(AR106:BA106)</f>
        <v>98.286362257615835</v>
      </c>
      <c r="BC106" s="85">
        <f t="shared" si="297"/>
        <v>3.4676172186038521</v>
      </c>
      <c r="BD106" s="85">
        <f t="shared" si="298"/>
        <v>5.0551439236075089</v>
      </c>
      <c r="BE106" s="85">
        <f t="shared" si="299"/>
        <v>100</v>
      </c>
      <c r="BF106" s="84">
        <f t="shared" si="300"/>
        <v>49.768448748785516</v>
      </c>
      <c r="BG106" s="85">
        <f t="shared" si="301"/>
        <v>1.3383918340901093</v>
      </c>
      <c r="BH106" s="85">
        <f t="shared" si="302"/>
        <v>17.908160677359387</v>
      </c>
      <c r="BI106" s="85">
        <f t="shared" si="303"/>
        <v>3.5157834518948112</v>
      </c>
      <c r="BJ106" s="85">
        <f t="shared" si="304"/>
        <v>5.1253613744373006</v>
      </c>
      <c r="BK106" s="85">
        <f t="shared" si="305"/>
        <v>0.15571503421187108</v>
      </c>
      <c r="BL106" s="85">
        <f t="shared" si="306"/>
        <v>7.0435882513654047</v>
      </c>
      <c r="BM106" s="85">
        <f t="shared" si="307"/>
        <v>12.272141150013772</v>
      </c>
      <c r="BN106" s="85">
        <f t="shared" si="308"/>
        <v>2.6669634992124882</v>
      </c>
      <c r="BO106" s="85">
        <f t="shared" si="309"/>
        <v>0.20544597862934302</v>
      </c>
      <c r="BP106" s="85">
        <f t="shared" si="310"/>
        <v>0</v>
      </c>
      <c r="BQ106" s="85">
        <f>SUM(BF106:BP106)</f>
        <v>99.999999999999986</v>
      </c>
      <c r="BR106" s="85"/>
      <c r="BS106" s="82">
        <f>AR106/Weights!$B$5*2+AS106/Weights!$B$7*2+AT106/Weights!$B$8*3+'Data and calc.'!BC106/Weights!$B$20*3+'Data and calc.'!BD106/Weights!$B$10+'Data and calc.'!AV106/Weights!$B$11+'Data and calc.'!AW106/Weights!$B$13+'Data and calc.'!AX106/Weights!$B$14+'Data and calc.'!AY106/Weights!$B$15+AZ106/Weights!$B$16+B106/Weights!$B$19+'Data and calc.'!BA106/Weights!$B$6*5</f>
        <v>2.8332421598313964</v>
      </c>
      <c r="BT106" s="84">
        <f>AR106/Weights!$B$5*8/'Data and calc.'!$BS106</f>
        <v>2.3068418384086895</v>
      </c>
      <c r="BU106" s="85">
        <f>AS106/Weights!$B$7*8/'Data and calc.'!$BS106</f>
        <v>4.6670462708879715E-2</v>
      </c>
      <c r="BV106" s="85">
        <f>AT106/Weights!$B$8*8/'Data and calc.'!$BS106*2</f>
        <v>0.97828669650228539</v>
      </c>
      <c r="BW106" s="85">
        <f>BC106/Weights!$B$20*8/'Data and calc.'!$BS106*2</f>
        <v>0.1226303240270312</v>
      </c>
      <c r="BX106" s="85">
        <f>BD106/Weights!$B$10*8/'Data and calc.'!$BS106</f>
        <v>0.19867778609446865</v>
      </c>
      <c r="BY106" s="85">
        <f>AV106/Weights!$B$11*8/'Data and calc.'!$BS106</f>
        <v>6.1132588161079207E-3</v>
      </c>
      <c r="BZ106" s="85">
        <f>AW106/Weights!$B$13*8/'Data and calc.'!$BS106</f>
        <v>0.48669976291809613</v>
      </c>
      <c r="CA106" s="85">
        <f>AX106/Weights!$B$14*8/'Data and calc.'!$BS106</f>
        <v>0.60946798097515786</v>
      </c>
      <c r="CB106" s="85">
        <f>AY106/Weights!$B$15*8/'Data and calc.'!$BS106*2</f>
        <v>0.23967407532807342</v>
      </c>
      <c r="CC106" s="85">
        <f>AZ106/Weights!$B$16*8/'Data and calc.'!$BS106*2</f>
        <v>1.2148211606720468E-2</v>
      </c>
      <c r="CD106" s="85">
        <f>BA106/Weights!$B$6*8/'Data and calc.'!$BS106*2</f>
        <v>0</v>
      </c>
      <c r="CE106" s="85">
        <f>B106/Weights!$B$19*8/'Data and calc.'!$BS106*2</f>
        <v>0.42945986939931674</v>
      </c>
      <c r="CF106" s="85">
        <f>SUM(BT106:BW106)*4</f>
        <v>13.817717286587543</v>
      </c>
      <c r="CG106" s="85">
        <f>(16-CF106)/SUM(BT106:BW106)</f>
        <v>0.63173465432839193</v>
      </c>
      <c r="CH106" s="85">
        <f>CE106/SUM(BT106:CD106)</f>
        <v>8.5768289190235963E-2</v>
      </c>
      <c r="CI106" s="85">
        <f>AR106/Weights!$B$5*2+AS106/Weights!$B$7*2+AT106/Weights!$B$8*3+'Data and calc.'!BC106/Weights!$B$20*3+'Data and calc.'!BD106/Weights!$B$10+'Data and calc.'!AV106/Weights!$B$11+'Data and calc.'!AW106/Weights!$B$13+'Data and calc.'!AX106/Weights!$B$14+'Data and calc.'!AY106/Weights!$B$15+AZ106/Weights!$B$16+'Data and calc.'!BA106/Weights!$B$6*5</f>
        <v>2.757194421835282</v>
      </c>
      <c r="CJ106" s="84">
        <f>AR106/Weights!$B$5*8/'Data and calc.'!$CI106</f>
        <v>2.3704681472161067</v>
      </c>
      <c r="CK106" s="85">
        <f>AS106/Weights!$B$7*8/'Data and calc.'!$CI106</f>
        <v>4.7957707123758464E-2</v>
      </c>
      <c r="CL106" s="85">
        <f>AT106/Weights!$B$8*8/'Data and calc.'!$CI106*2</f>
        <v>1.0052693749059249</v>
      </c>
      <c r="CM106" s="85">
        <f>BC106/Weights!$B$20*8/'Data and calc.'!$CI106*2</f>
        <v>0.12601266031718614</v>
      </c>
      <c r="CN106" s="85">
        <f>BD106/Weights!$B$10*8/'Data and calc.'!$CI106</f>
        <v>0.20415763042568674</v>
      </c>
      <c r="CO106" s="85">
        <f>AV106/Weights!$B$11*8/'Data and calc.'!$CI106</f>
        <v>6.2818720633523277E-3</v>
      </c>
      <c r="CP106" s="85">
        <f>AW106/Weights!$B$13*8/'Data and calc.'!$CI106</f>
        <v>0.50012370421148156</v>
      </c>
      <c r="CQ106" s="85">
        <f>AX106/Weights!$B$14*8/'Data and calc.'!$CI106</f>
        <v>0.62627806189189228</v>
      </c>
      <c r="CR106" s="85">
        <f>AY106/Weights!$B$15*8/'Data and calc.'!$CI106*2</f>
        <v>0.24628466148792719</v>
      </c>
      <c r="CS106" s="85">
        <f>AZ106/Weights!$B$16*8/'Data and calc.'!$CI106*2</f>
        <v>1.2483278298453542E-2</v>
      </c>
      <c r="CT106" s="85">
        <f>BA106/Weights!$B$6*8/'Data and calc.'!$CI106*2</f>
        <v>0</v>
      </c>
      <c r="CU106" s="85">
        <f>CJ106*2+CK106*2+CL106*1.5+CM106*1.5+CN106+CO106+CP106+CQ106+CR106*0.5+CS106*0.5+CT106*2.5</f>
        <v>8</v>
      </c>
      <c r="CV106" s="85">
        <f>SUM(CJ106:CM106)*4</f>
        <v>14.198831558251904</v>
      </c>
      <c r="CW106" s="85">
        <f>(16-CV106)/SUM(CJ106:CM106)</f>
        <v>0.50741314434463181</v>
      </c>
      <c r="CX106" s="113"/>
      <c r="CY106" s="90">
        <f>$CZ$2*G106+$DB$2</f>
        <v>1.5969721293030592E-2</v>
      </c>
      <c r="CZ106" s="91">
        <f>100*CY106/(1+CY106)</f>
        <v>1.5718698065829988</v>
      </c>
      <c r="DA106" s="85">
        <f t="shared" si="312"/>
        <v>0.20186980658299869</v>
      </c>
      <c r="DB106" s="85">
        <f>ABS(DA106)</f>
        <v>0.20186980658299869</v>
      </c>
      <c r="DC106" s="85">
        <f>DA106^2</f>
        <v>4.0751418809857304E-2</v>
      </c>
      <c r="DD106" s="117"/>
      <c r="DE106" s="97"/>
      <c r="DF106" s="91">
        <f>$DF$2*G106^2 + $DH$2*G106 +$DJ$2</f>
        <v>1.5739445783146742</v>
      </c>
      <c r="DG106" s="85">
        <f t="shared" si="314"/>
        <v>0.20394457831467405</v>
      </c>
      <c r="DH106" s="85">
        <f>ABS(DG106)</f>
        <v>0.20394457831467405</v>
      </c>
      <c r="DI106" s="85">
        <f>DG106^2</f>
        <v>4.1593391023950217E-2</v>
      </c>
      <c r="DK106" s="117"/>
      <c r="DL106" s="99">
        <f>'Eq. 3 coef.'!$B$15+'Eq. 3 coef.'!$B$16*'Data and calc.'!G106^2+'Eq. 3 coef.'!$B$17*'Data and calc.'!G106+'Eq. 3 coef.'!$B$18*'Data and calc.'!BF106+'Eq. 3 coef.'!$B$19*'Data and calc.'!BG106+'Eq. 3 coef.'!$B$20*'Data and calc.'!BH106+'Eq. 3 coef.'!$B$21*'Data and calc.'!BI106+'Eq. 3 coef.'!$B$22*'Data and calc.'!BJ106+'Eq. 3 coef.'!$B$23*'Data and calc.'!BK106+'Eq. 3 coef.'!$B$24*'Data and calc.'!BL106+'Eq. 3 coef.'!$B$25*'Data and calc.'!BM106+'Eq. 3 coef.'!$B$26*'Data and calc.'!BN106+'Eq. 3 coef.'!$B$27*'Data and calc.'!BO106+'Eq. 3 coef.'!$B$28*'Data and calc.'!BP106</f>
        <v>1.3829448656224486</v>
      </c>
      <c r="DM106" s="85">
        <f t="shared" si="315"/>
        <v>1.2944865622448454E-2</v>
      </c>
      <c r="DN106" s="85">
        <f>ABS(DM106)</f>
        <v>1.2944865622448454E-2</v>
      </c>
      <c r="DO106" s="85">
        <f>DM106^2</f>
        <v>1.675695459832478E-4</v>
      </c>
      <c r="DP106" s="117"/>
      <c r="DQ106" s="99">
        <f>'Eq. 4 coef.'!$B$15+'Eq. 4 coef.'!$B$16*'Data and calc.'!G106^2+'Eq. 4 coef.'!$B$17*'Data and calc.'!G106+'Eq. 4 coef.'!$B$18*'Data and calc.'!O106+'Eq. 4 coef.'!$B$19*'Data and calc.'!P106+'Eq. 4 coef.'!$B$20*'Data and calc.'!Q106+'Eq. 4 coef.'!$B$21*'Data and calc.'!R106+'Eq. 4 coef.'!$B$22*'Data and calc.'!S106+'Eq. 4 coef.'!$B$23*'Data and calc.'!T106+'Eq. 4 coef.'!$B$24*'Data and calc.'!U106+'Eq. 4 coef.'!$B$25*'Data and calc.'!V106+'Eq. 4 coef.'!$B$26*'Data and calc.'!W106+'Eq. 4 coef.'!$B$27*'Data and calc.'!X106</f>
        <v>1.4842930497507041</v>
      </c>
      <c r="DR106" s="85">
        <f t="shared" si="316"/>
        <v>0.11429304975070398</v>
      </c>
      <c r="DS106" s="85">
        <f>ABS(DR106)</f>
        <v>0.11429304975070398</v>
      </c>
      <c r="DT106" s="85">
        <f>DR106^2</f>
        <v>1.3062901221316895E-2</v>
      </c>
    </row>
    <row r="107" spans="1:125" ht="15" x14ac:dyDescent="0.2">
      <c r="A107" s="66" t="s">
        <v>597</v>
      </c>
      <c r="B107" s="73">
        <v>1.84</v>
      </c>
      <c r="C107" s="73">
        <v>0.28000000000000003</v>
      </c>
      <c r="D107" s="126">
        <f t="shared" si="270"/>
        <v>15.217391304347828</v>
      </c>
      <c r="E107" s="72">
        <f t="shared" si="271"/>
        <v>1.8744906275468626E-2</v>
      </c>
      <c r="F107" s="64">
        <f t="shared" si="272"/>
        <v>8.8223109545708738</v>
      </c>
      <c r="G107" s="73">
        <v>2.9702375249415449</v>
      </c>
      <c r="H107" s="73">
        <v>2.7085145507272528E-2</v>
      </c>
      <c r="I107" s="126">
        <f>H107*100/G107</f>
        <v>0.9118848334462939</v>
      </c>
      <c r="J107" s="70">
        <v>1150</v>
      </c>
      <c r="K107" s="70">
        <v>204</v>
      </c>
      <c r="L107" s="73">
        <v>0.27327743952833283</v>
      </c>
      <c r="M107" s="70">
        <v>2.6</v>
      </c>
      <c r="N107" s="64">
        <f t="shared" si="273"/>
        <v>1.473207559815791</v>
      </c>
      <c r="O107" s="76">
        <v>49.790517493903877</v>
      </c>
      <c r="P107" s="73">
        <v>1.3404020236872205</v>
      </c>
      <c r="Q107" s="73">
        <v>17.664767533925691</v>
      </c>
      <c r="R107" s="73">
        <v>8.8635472380069107</v>
      </c>
      <c r="S107" s="73">
        <v>0.16355739087329155</v>
      </c>
      <c r="T107" s="73">
        <v>7.0889712353977981</v>
      </c>
      <c r="U107" s="73">
        <v>12.286262846459785</v>
      </c>
      <c r="V107" s="73">
        <v>2.5732229738897829</v>
      </c>
      <c r="W107" s="73">
        <v>0.22875126385564662</v>
      </c>
      <c r="X107" s="73">
        <v>0</v>
      </c>
      <c r="Y107" s="73">
        <f>SUM(O107:X107)</f>
        <v>99.999999999999986</v>
      </c>
      <c r="Z107" s="73">
        <v>2.8019742377454295</v>
      </c>
      <c r="AA107" s="73">
        <v>0.92434286234654883</v>
      </c>
      <c r="AB107" s="59">
        <f t="shared" si="274"/>
        <v>4.4703289802048696</v>
      </c>
      <c r="AC107" s="60">
        <f t="shared" si="275"/>
        <v>4.8362238324169384</v>
      </c>
      <c r="AD107" s="57">
        <f t="shared" si="276"/>
        <v>100.44300557461489</v>
      </c>
      <c r="AE107" s="57"/>
      <c r="AF107" s="57">
        <f t="shared" si="277"/>
        <v>48.874371972016043</v>
      </c>
      <c r="AG107" s="57">
        <f t="shared" si="278"/>
        <v>1.3157386264513755</v>
      </c>
      <c r="AH107" s="57">
        <f t="shared" si="279"/>
        <v>17.339735811301455</v>
      </c>
      <c r="AI107" s="57">
        <f t="shared" si="280"/>
        <v>8.7004579688275836</v>
      </c>
      <c r="AJ107" s="57">
        <f t="shared" si="281"/>
        <v>0.16054793488122296</v>
      </c>
      <c r="AK107" s="57">
        <f t="shared" si="282"/>
        <v>6.958534164666478</v>
      </c>
      <c r="AL107" s="57">
        <f t="shared" si="283"/>
        <v>12.060195610084925</v>
      </c>
      <c r="AM107" s="57">
        <f t="shared" si="284"/>
        <v>2.5258756711702106</v>
      </c>
      <c r="AN107" s="57">
        <f t="shared" si="285"/>
        <v>0.22454224060070271</v>
      </c>
      <c r="AO107" s="57">
        <f t="shared" si="286"/>
        <v>0</v>
      </c>
      <c r="AP107" s="57">
        <f>SUM(AF107:AO107)</f>
        <v>98.16</v>
      </c>
      <c r="AQ107" s="57"/>
      <c r="AR107" s="84">
        <f t="shared" si="287"/>
        <v>48.65881072794992</v>
      </c>
      <c r="AS107" s="85">
        <f t="shared" si="288"/>
        <v>1.3099355389897891</v>
      </c>
      <c r="AT107" s="85">
        <f t="shared" si="289"/>
        <v>17.263258613284421</v>
      </c>
      <c r="AU107" s="85">
        <f t="shared" si="290"/>
        <v>8.6620844518281341</v>
      </c>
      <c r="AV107" s="85">
        <f t="shared" si="291"/>
        <v>0.1598398354995049</v>
      </c>
      <c r="AW107" s="85">
        <f t="shared" si="292"/>
        <v>6.9278434320618523</v>
      </c>
      <c r="AX107" s="85">
        <f t="shared" si="293"/>
        <v>12.007003913404317</v>
      </c>
      <c r="AY107" s="85">
        <f t="shared" si="294"/>
        <v>2.5147352538090311</v>
      </c>
      <c r="AZ107" s="85">
        <f t="shared" si="295"/>
        <v>0.2235518932514417</v>
      </c>
      <c r="BA107" s="85">
        <f t="shared" si="296"/>
        <v>0</v>
      </c>
      <c r="BB107" s="85">
        <f>SUM(AR107:BA107)</f>
        <v>97.727063660078429</v>
      </c>
      <c r="BC107" s="85">
        <f t="shared" si="297"/>
        <v>4.3687212482997468</v>
      </c>
      <c r="BD107" s="85">
        <f t="shared" si="298"/>
        <v>4.7262995434499855</v>
      </c>
      <c r="BE107" s="85">
        <f t="shared" si="299"/>
        <v>100.00000000000003</v>
      </c>
      <c r="BF107" s="84">
        <f t="shared" si="300"/>
        <v>49.570915574521109</v>
      </c>
      <c r="BG107" s="85">
        <f t="shared" si="301"/>
        <v>1.3344901578950583</v>
      </c>
      <c r="BH107" s="85">
        <f t="shared" si="302"/>
        <v>17.586856777999614</v>
      </c>
      <c r="BI107" s="85">
        <f t="shared" si="303"/>
        <v>4.4506125186427736</v>
      </c>
      <c r="BJ107" s="85">
        <f t="shared" si="304"/>
        <v>4.8148935854217463</v>
      </c>
      <c r="BK107" s="85">
        <f t="shared" si="305"/>
        <v>0.16283601823502944</v>
      </c>
      <c r="BL107" s="85">
        <f t="shared" si="306"/>
        <v>7.0577052078869729</v>
      </c>
      <c r="BM107" s="85">
        <f t="shared" si="307"/>
        <v>12.232074076410266</v>
      </c>
      <c r="BN107" s="85">
        <f t="shared" si="308"/>
        <v>2.5618737304492982</v>
      </c>
      <c r="BO107" s="85">
        <f t="shared" si="309"/>
        <v>0.22774235253814357</v>
      </c>
      <c r="BP107" s="85">
        <f t="shared" si="310"/>
        <v>0</v>
      </c>
      <c r="BQ107" s="85">
        <f>SUM(BF107:BP107)</f>
        <v>100</v>
      </c>
      <c r="BR107" s="85"/>
      <c r="BS107" s="82">
        <f>AR107/Weights!$B$5*2+AS107/Weights!$B$7*2+AT107/Weights!$B$8*3+'Data and calc.'!BC107/Weights!$B$20*3+'Data and calc.'!BD107/Weights!$B$10+'Data and calc.'!AV107/Weights!$B$11+'Data and calc.'!AW107/Weights!$B$13+'Data and calc.'!AX107/Weights!$B$14+'Data and calc.'!AY107/Weights!$B$15+AZ107/Weights!$B$16+B107/Weights!$B$19+'Data and calc.'!BA107/Weights!$B$6*5</f>
        <v>2.8416688987238294</v>
      </c>
      <c r="BT107" s="84">
        <f>AR107/Weights!$B$5*8/'Data and calc.'!$BS107</f>
        <v>2.2799556218691404</v>
      </c>
      <c r="BU107" s="85">
        <f>AS107/Weights!$B$7*8/'Data and calc.'!$BS107</f>
        <v>4.6175322971394227E-2</v>
      </c>
      <c r="BV107" s="85">
        <f>AT107/Weights!$B$8*8/'Data and calc.'!$BS107*2</f>
        <v>0.95332093521990946</v>
      </c>
      <c r="BW107" s="85">
        <f>BC107/Weights!$B$20*8/'Data and calc.'!$BS107*2</f>
        <v>0.15403920958907</v>
      </c>
      <c r="BX107" s="85">
        <f>BD107/Weights!$B$10*8/'Data and calc.'!$BS107</f>
        <v>0.18520267347833769</v>
      </c>
      <c r="BY107" s="85">
        <f>AV107/Weights!$B$11*8/'Data and calc.'!$BS107</f>
        <v>6.3434927772108348E-3</v>
      </c>
      <c r="BZ107" s="85">
        <f>AW107/Weights!$B$13*8/'Data and calc.'!$BS107</f>
        <v>0.48391203908970898</v>
      </c>
      <c r="CA107" s="85">
        <f>AX107/Weights!$B$14*8/'Data and calc.'!$BS107</f>
        <v>0.60279049188209399</v>
      </c>
      <c r="CB107" s="85">
        <f>AY107/Weights!$B$15*8/'Data and calc.'!$BS107*2</f>
        <v>0.22845330604036476</v>
      </c>
      <c r="CC107" s="85">
        <f>AZ107/Weights!$B$16*8/'Data and calc.'!$BS107*2</f>
        <v>1.3362700789427556E-2</v>
      </c>
      <c r="CD107" s="85">
        <f>BA107/Weights!$B$6*8/'Data and calc.'!$BS107*2</f>
        <v>0</v>
      </c>
      <c r="CE107" s="85">
        <f>B107/Weights!$B$19*8/'Data and calc.'!$BS107*2</f>
        <v>0.57508238492642516</v>
      </c>
      <c r="CF107" s="85">
        <f>SUM(BT107:BW107)*4</f>
        <v>13.733964358598056</v>
      </c>
      <c r="CG107" s="85">
        <f>(16-CF107)/SUM(BT107:BW107)</f>
        <v>0.65998005593579601</v>
      </c>
      <c r="CH107" s="85">
        <f>CE107/SUM(BT107:CD107)</f>
        <v>0.11609486374556433</v>
      </c>
      <c r="CI107" s="85">
        <f>AR107/Weights!$B$5*2+AS107/Weights!$B$7*2+AT107/Weights!$B$8*3+'Data and calc.'!BC107/Weights!$B$20*3+'Data and calc.'!BD107/Weights!$B$10+'Data and calc.'!AV107/Weights!$B$11+'Data and calc.'!AW107/Weights!$B$13+'Data and calc.'!AX107/Weights!$B$14+'Data and calc.'!AY107/Weights!$B$15+AZ107/Weights!$B$16+'Data and calc.'!BA107/Weights!$B$6*5</f>
        <v>2.739531790758245</v>
      </c>
      <c r="CJ107" s="84">
        <f>AR107/Weights!$B$5*8/'Data and calc.'!$CI107</f>
        <v>2.3649584950948372</v>
      </c>
      <c r="CK107" s="85">
        <f>AS107/Weights!$B$7*8/'Data and calc.'!$CI107</f>
        <v>4.7896863113248055E-2</v>
      </c>
      <c r="CL107" s="85">
        <f>AT107/Weights!$B$8*8/'Data and calc.'!$CI107*2</f>
        <v>0.98886330184433835</v>
      </c>
      <c r="CM107" s="85">
        <f>BC107/Weights!$B$20*8/'Data and calc.'!$CI107*2</f>
        <v>0.15978220532060614</v>
      </c>
      <c r="CN107" s="85">
        <f>BD107/Weights!$B$10*8/'Data and calc.'!$CI107</f>
        <v>0.19210752689905169</v>
      </c>
      <c r="CO107" s="85">
        <f>AV107/Weights!$B$11*8/'Data and calc.'!$CI107</f>
        <v>6.5799952368101669E-3</v>
      </c>
      <c r="CP107" s="85">
        <f>AW107/Weights!$B$13*8/'Data and calc.'!$CI107</f>
        <v>0.50195358047611938</v>
      </c>
      <c r="CQ107" s="85">
        <f>AX107/Weights!$B$14*8/'Data and calc.'!$CI107</f>
        <v>0.62526414148809051</v>
      </c>
      <c r="CR107" s="85">
        <f>AY107/Weights!$B$15*8/'Data and calc.'!$CI107*2</f>
        <v>0.23697065928403024</v>
      </c>
      <c r="CS107" s="85">
        <f>AZ107/Weights!$B$16*8/'Data and calc.'!$CI107*2</f>
        <v>1.3860898188649488E-2</v>
      </c>
      <c r="CT107" s="85">
        <f>BA107/Weights!$B$6*8/'Data and calc.'!$CI107*2</f>
        <v>0</v>
      </c>
      <c r="CU107" s="85">
        <f>CJ107*2+CK107*2+CL107*1.5+CM107*1.5+CN107+CO107+CP107+CQ107+CR107*0.5+CS107*0.5+CT107*2.5</f>
        <v>7.9999999999999973</v>
      </c>
      <c r="CV107" s="85">
        <f>SUM(CJ107:CM107)*4</f>
        <v>14.246003461492119</v>
      </c>
      <c r="CW107" s="85">
        <f>(16-CV107)/SUM(CJ107:CM107)</f>
        <v>0.49248802816847503</v>
      </c>
      <c r="CX107" s="113"/>
      <c r="CY107" s="90">
        <f>$CZ$2*G107+$DB$2</f>
        <v>2.1903745089746702E-2</v>
      </c>
      <c r="CZ107" s="91">
        <f>100*CY107/(1+CY107)</f>
        <v>2.1434254639925063</v>
      </c>
      <c r="DA107" s="85">
        <f t="shared" si="312"/>
        <v>0.30342546399250625</v>
      </c>
      <c r="DB107" s="85">
        <f>ABS(DA107)</f>
        <v>0.30342546399250625</v>
      </c>
      <c r="DC107" s="85">
        <f>DA107^2</f>
        <v>9.206701219906771E-2</v>
      </c>
      <c r="DD107" s="117"/>
      <c r="DE107" s="97"/>
      <c r="DF107" s="91">
        <f>$DF$2*G107^2 + $DH$2*G107 +$DJ$2</f>
        <v>2.1509277923143144</v>
      </c>
      <c r="DG107" s="85">
        <f t="shared" si="314"/>
        <v>0.31092779231431433</v>
      </c>
      <c r="DH107" s="85">
        <f>ABS(DG107)</f>
        <v>0.31092779231431433</v>
      </c>
      <c r="DI107" s="85">
        <f>DG107^2</f>
        <v>9.6676092033453384E-2</v>
      </c>
      <c r="DK107" s="117"/>
      <c r="DL107" s="99">
        <f>'Eq. 3 coef.'!$B$15+'Eq. 3 coef.'!$B$16*'Data and calc.'!G107^2+'Eq. 3 coef.'!$B$17*'Data and calc.'!G107+'Eq. 3 coef.'!$B$18*'Data and calc.'!BF107+'Eq. 3 coef.'!$B$19*'Data and calc.'!BG107+'Eq. 3 coef.'!$B$20*'Data and calc.'!BH107+'Eq. 3 coef.'!$B$21*'Data and calc.'!BI107+'Eq. 3 coef.'!$B$22*'Data and calc.'!BJ107+'Eq. 3 coef.'!$B$23*'Data and calc.'!BK107+'Eq. 3 coef.'!$B$24*'Data and calc.'!BL107+'Eq. 3 coef.'!$B$25*'Data and calc.'!BM107+'Eq. 3 coef.'!$B$26*'Data and calc.'!BN107+'Eq. 3 coef.'!$B$27*'Data and calc.'!BO107+'Eq. 3 coef.'!$B$28*'Data and calc.'!BP107</f>
        <v>2.010109775890669</v>
      </c>
      <c r="DM107" s="85">
        <f t="shared" si="315"/>
        <v>0.17010977589066889</v>
      </c>
      <c r="DN107" s="85">
        <f>ABS(DM107)</f>
        <v>0.17010977589066889</v>
      </c>
      <c r="DO107" s="85">
        <f>DM107^2</f>
        <v>2.8937335853573595E-2</v>
      </c>
      <c r="DP107" s="117"/>
      <c r="DQ107" s="99">
        <f>'Eq. 4 coef.'!$B$15+'Eq. 4 coef.'!$B$16*'Data and calc.'!G107^2+'Eq. 4 coef.'!$B$17*'Data and calc.'!G107+'Eq. 4 coef.'!$B$18*'Data and calc.'!O107+'Eq. 4 coef.'!$B$19*'Data and calc.'!P107+'Eq. 4 coef.'!$B$20*'Data and calc.'!Q107+'Eq. 4 coef.'!$B$21*'Data and calc.'!R107+'Eq. 4 coef.'!$B$22*'Data and calc.'!S107+'Eq. 4 coef.'!$B$23*'Data and calc.'!T107+'Eq. 4 coef.'!$B$24*'Data and calc.'!U107+'Eq. 4 coef.'!$B$25*'Data and calc.'!V107+'Eq. 4 coef.'!$B$26*'Data and calc.'!W107+'Eq. 4 coef.'!$B$27*'Data and calc.'!X107</f>
        <v>2.095877706083229</v>
      </c>
      <c r="DR107" s="85">
        <f t="shared" si="316"/>
        <v>0.25587770608322891</v>
      </c>
      <c r="DS107" s="85">
        <f>ABS(DR107)</f>
        <v>0.25587770608322891</v>
      </c>
      <c r="DT107" s="85">
        <f>DR107^2</f>
        <v>6.5473400470415277E-2</v>
      </c>
    </row>
    <row r="108" spans="1:125" s="51" customFormat="1" ht="15" x14ac:dyDescent="0.2">
      <c r="A108" s="66" t="s">
        <v>604</v>
      </c>
      <c r="B108" s="73">
        <v>0.93</v>
      </c>
      <c r="C108" s="73">
        <v>0.22</v>
      </c>
      <c r="D108" s="126">
        <f t="shared" si="270"/>
        <v>23.655913978494624</v>
      </c>
      <c r="E108" s="72">
        <f t="shared" si="271"/>
        <v>9.387301907742002E-3</v>
      </c>
      <c r="F108" s="64">
        <f t="shared" si="272"/>
        <v>3.4098646769695549</v>
      </c>
      <c r="G108" s="73">
        <v>1.8465818901336477</v>
      </c>
      <c r="H108" s="73">
        <v>6.1564823766891166E-2</v>
      </c>
      <c r="I108" s="126">
        <f>H108*100/G108</f>
        <v>3.3339882783338339</v>
      </c>
      <c r="J108" s="70">
        <v>1200</v>
      </c>
      <c r="K108" s="70">
        <v>200</v>
      </c>
      <c r="L108" s="73">
        <v>8.9516487403109218E-2</v>
      </c>
      <c r="M108" s="70">
        <v>2.6</v>
      </c>
      <c r="N108" s="64">
        <f t="shared" si="273"/>
        <v>0.50380606457015586</v>
      </c>
      <c r="O108" s="76">
        <v>49.467250698200239</v>
      </c>
      <c r="P108" s="73">
        <v>1.3420070819362167</v>
      </c>
      <c r="Q108" s="73">
        <v>17.582469794967405</v>
      </c>
      <c r="R108" s="73">
        <v>8.9037713134408225</v>
      </c>
      <c r="S108" s="73">
        <v>0.1811432229787896</v>
      </c>
      <c r="T108" s="73">
        <v>7.0469610599093446</v>
      </c>
      <c r="U108" s="73">
        <v>12.735552688356025</v>
      </c>
      <c r="V108" s="73">
        <v>2.5225023761786383</v>
      </c>
      <c r="W108" s="73">
        <v>0.21834176403251676</v>
      </c>
      <c r="X108" s="73">
        <v>0</v>
      </c>
      <c r="Y108" s="73">
        <f>SUM(O108:X108)</f>
        <v>100</v>
      </c>
      <c r="Z108" s="73">
        <v>2.7408441402111552</v>
      </c>
      <c r="AA108" s="73">
        <v>0.51255480942616893</v>
      </c>
      <c r="AB108" s="59">
        <f t="shared" si="274"/>
        <v>3.1220360435695889</v>
      </c>
      <c r="AC108" s="60">
        <f t="shared" si="275"/>
        <v>6.0911262291438959</v>
      </c>
      <c r="AD108" s="57">
        <f t="shared" si="276"/>
        <v>100.30939095927266</v>
      </c>
      <c r="AE108" s="57"/>
      <c r="AF108" s="57">
        <f t="shared" si="277"/>
        <v>49.007205266706968</v>
      </c>
      <c r="AG108" s="57">
        <f t="shared" si="278"/>
        <v>1.32952641607421</v>
      </c>
      <c r="AH108" s="57">
        <f t="shared" si="279"/>
        <v>17.418952825874207</v>
      </c>
      <c r="AI108" s="57">
        <f t="shared" si="280"/>
        <v>8.8209662402258218</v>
      </c>
      <c r="AJ108" s="57">
        <f t="shared" si="281"/>
        <v>0.17945859100508685</v>
      </c>
      <c r="AK108" s="57">
        <f t="shared" si="282"/>
        <v>6.9814243220521872</v>
      </c>
      <c r="AL108" s="57">
        <f t="shared" si="283"/>
        <v>12.617112048354313</v>
      </c>
      <c r="AM108" s="57">
        <f t="shared" si="284"/>
        <v>2.4990431040801768</v>
      </c>
      <c r="AN108" s="57">
        <f t="shared" si="285"/>
        <v>0.21631118562701435</v>
      </c>
      <c r="AO108" s="57">
        <f t="shared" si="286"/>
        <v>0</v>
      </c>
      <c r="AP108" s="57">
        <f>SUM(AF108:AO108)</f>
        <v>99.07</v>
      </c>
      <c r="AQ108" s="57"/>
      <c r="AR108" s="84">
        <f t="shared" si="287"/>
        <v>48.856049067833276</v>
      </c>
      <c r="AS108" s="85">
        <f t="shared" si="288"/>
        <v>1.3254256688828072</v>
      </c>
      <c r="AT108" s="85">
        <f t="shared" si="289"/>
        <v>17.365226385380609</v>
      </c>
      <c r="AU108" s="85">
        <f t="shared" si="290"/>
        <v>8.7937591444526717</v>
      </c>
      <c r="AV108" s="85">
        <f t="shared" si="291"/>
        <v>0.17890507487773516</v>
      </c>
      <c r="AW108" s="85">
        <f t="shared" si="292"/>
        <v>6.9598910483732928</v>
      </c>
      <c r="AX108" s="85">
        <f t="shared" si="293"/>
        <v>12.578196246328599</v>
      </c>
      <c r="AY108" s="85">
        <f t="shared" si="294"/>
        <v>2.4913351383967939</v>
      </c>
      <c r="AZ108" s="85">
        <f t="shared" si="295"/>
        <v>0.21564400257882177</v>
      </c>
      <c r="BA108" s="85">
        <f t="shared" si="296"/>
        <v>0</v>
      </c>
      <c r="BB108" s="85">
        <f>SUM(AR108:BA108)</f>
        <v>98.764431777104619</v>
      </c>
      <c r="BC108" s="85">
        <f t="shared" si="297"/>
        <v>3.083461158307903</v>
      </c>
      <c r="BD108" s="85">
        <f t="shared" si="298"/>
        <v>6.0158662090401478</v>
      </c>
      <c r="BE108" s="85">
        <f t="shared" si="299"/>
        <v>100</v>
      </c>
      <c r="BF108" s="84">
        <f t="shared" si="300"/>
        <v>49.314675550452485</v>
      </c>
      <c r="BG108" s="85">
        <f t="shared" si="301"/>
        <v>1.3378678397928812</v>
      </c>
      <c r="BH108" s="85">
        <f t="shared" si="302"/>
        <v>17.528239008156465</v>
      </c>
      <c r="BI108" s="85">
        <f t="shared" si="303"/>
        <v>3.1124065391217357</v>
      </c>
      <c r="BJ108" s="85">
        <f t="shared" si="304"/>
        <v>6.0723389613809919</v>
      </c>
      <c r="BK108" s="85">
        <f t="shared" si="305"/>
        <v>0.18058451082843965</v>
      </c>
      <c r="BL108" s="85">
        <f t="shared" si="306"/>
        <v>7.0252256468893641</v>
      </c>
      <c r="BM108" s="85">
        <f t="shared" si="307"/>
        <v>12.696271571947713</v>
      </c>
      <c r="BN108" s="85">
        <f t="shared" si="308"/>
        <v>2.5147220534942907</v>
      </c>
      <c r="BO108" s="85">
        <f t="shared" si="309"/>
        <v>0.21766831793562308</v>
      </c>
      <c r="BP108" s="85">
        <f t="shared" si="310"/>
        <v>0</v>
      </c>
      <c r="BQ108" s="85">
        <f>SUM(BF108:BP108)</f>
        <v>100</v>
      </c>
      <c r="BR108" s="85"/>
      <c r="BS108" s="82">
        <f>AR108/Weights!$B$5*2+AS108/Weights!$B$7*2+AT108/Weights!$B$8*3+'Data and calc.'!BC108/Weights!$B$20*3+'Data and calc.'!BD108/Weights!$B$10+'Data and calc.'!AV108/Weights!$B$11+'Data and calc.'!AW108/Weights!$B$13+'Data and calc.'!AX108/Weights!$B$14+'Data and calc.'!AY108/Weights!$B$15+AZ108/Weights!$B$16+B108/Weights!$B$19+'Data and calc.'!BA108/Weights!$B$6*5</f>
        <v>2.8057010416823993</v>
      </c>
      <c r="BT108" s="84">
        <f>AR108/Weights!$B$5*8/'Data and calc.'!$BS108</f>
        <v>2.3185439220183639</v>
      </c>
      <c r="BU108" s="85">
        <f>AS108/Weights!$B$7*8/'Data and calc.'!$BS108</f>
        <v>4.7320298410682186E-2</v>
      </c>
      <c r="BV108" s="85">
        <f>AT108/Weights!$B$8*8/'Data and calc.'!$BS108*2</f>
        <v>0.97124519654070385</v>
      </c>
      <c r="BW108" s="85">
        <f>BC108/Weights!$B$20*8/'Data and calc.'!$BS108*2</f>
        <v>0.11011526019951165</v>
      </c>
      <c r="BX108" s="85">
        <f>BD108/Weights!$B$10*8/'Data and calc.'!$BS108</f>
        <v>0.2387570798302146</v>
      </c>
      <c r="BY108" s="85">
        <f>AV108/Weights!$B$11*8/'Data and calc.'!$BS108</f>
        <v>7.1911469988350189E-3</v>
      </c>
      <c r="BZ108" s="85">
        <f>AW108/Weights!$B$13*8/'Data and calc.'!$BS108</f>
        <v>0.49238281234625958</v>
      </c>
      <c r="CA108" s="85">
        <f>AX108/Weights!$B$14*8/'Data and calc.'!$BS108</f>
        <v>0.63956131706120212</v>
      </c>
      <c r="CB108" s="85">
        <f>AY108/Weights!$B$15*8/'Data and calc.'!$BS108*2</f>
        <v>0.22922892158586619</v>
      </c>
      <c r="CC108" s="85">
        <f>AZ108/Weights!$B$16*8/'Data and calc.'!$BS108*2</f>
        <v>1.3055254928117047E-2</v>
      </c>
      <c r="CD108" s="85">
        <f>BA108/Weights!$B$6*8/'Data and calc.'!$BS108*2</f>
        <v>0</v>
      </c>
      <c r="CE108" s="85">
        <f>B108/Weights!$B$19*8/'Data and calc.'!$BS108*2</f>
        <v>0.29439285907616469</v>
      </c>
      <c r="CF108" s="85">
        <f>SUM(BT108:BW108)*4</f>
        <v>13.788898708677046</v>
      </c>
      <c r="CG108" s="85">
        <f>(16-CF108)/SUM(BT108:BW108)</f>
        <v>0.64141490572602666</v>
      </c>
      <c r="CH108" s="85">
        <f>CE108/SUM(BT108:CD108)</f>
        <v>5.8095431342573035E-2</v>
      </c>
      <c r="CI108" s="85">
        <f>AR108/Weights!$B$5*2+AS108/Weights!$B$7*2+AT108/Weights!$B$8*3+'Data and calc.'!BC108/Weights!$B$20*3+'Data and calc.'!BD108/Weights!$B$10+'Data and calc.'!AV108/Weights!$B$11+'Data and calc.'!AW108/Weights!$B$13+'Data and calc.'!AX108/Weights!$B$14+'Data and calc.'!AY108/Weights!$B$15+AZ108/Weights!$B$16+'Data and calc.'!BA108/Weights!$B$6*5</f>
        <v>2.7540773947215333</v>
      </c>
      <c r="CJ108" s="84">
        <f>AR108/Weights!$B$5*8/'Data and calc.'!$CI108</f>
        <v>2.3620037365910913</v>
      </c>
      <c r="CK108" s="85">
        <f>AS108/Weights!$B$7*8/'Data and calc.'!$CI108</f>
        <v>4.8207291050728483E-2</v>
      </c>
      <c r="CL108" s="85">
        <f>AT108/Weights!$B$8*8/'Data and calc.'!$CI108*2</f>
        <v>0.98945064684313577</v>
      </c>
      <c r="CM108" s="85">
        <f>BC108/Weights!$B$20*8/'Data and calc.'!$CI108*2</f>
        <v>0.11217930942646458</v>
      </c>
      <c r="CN108" s="85">
        <f>BD108/Weights!$B$10*8/'Data and calc.'!$CI108</f>
        <v>0.24323244832283045</v>
      </c>
      <c r="CO108" s="85">
        <f>AV108/Weights!$B$11*8/'Data and calc.'!$CI108</f>
        <v>7.3259410444283116E-3</v>
      </c>
      <c r="CP108" s="85">
        <f>AW108/Weights!$B$13*8/'Data and calc.'!$CI108</f>
        <v>0.50161225394542408</v>
      </c>
      <c r="CQ108" s="85">
        <f>AX108/Weights!$B$14*8/'Data and calc.'!$CI108</f>
        <v>0.65154953776446678</v>
      </c>
      <c r="CR108" s="85">
        <f>AY108/Weights!$B$15*8/'Data and calc.'!$CI108*2</f>
        <v>0.23352569005862195</v>
      </c>
      <c r="CS108" s="85">
        <f>AZ108/Weights!$B$16*8/'Data and calc.'!$CI108*2</f>
        <v>1.329996841100062E-2</v>
      </c>
      <c r="CT108" s="85">
        <f>BA108/Weights!$B$6*8/'Data and calc.'!$CI108*2</f>
        <v>0</v>
      </c>
      <c r="CU108" s="85">
        <f>CJ108*2+CK108*2+CL108*1.5+CM108*1.5+CN108+CO108+CP108+CQ108+CR108*0.5+CS108*0.5+CT108*2.5</f>
        <v>8.0000000000000018</v>
      </c>
      <c r="CV108" s="85">
        <f>SUM(CJ108:CM108)*4</f>
        <v>14.047363935645681</v>
      </c>
      <c r="CW108" s="85">
        <f>(16-CV108)/SUM(CJ108:CM108)</f>
        <v>0.55601494296006282</v>
      </c>
      <c r="CX108" s="113"/>
      <c r="CY108" s="90">
        <f>$CZ$2*G108+$DB$2</f>
        <v>1.2229070074050705E-2</v>
      </c>
      <c r="CZ108" s="91">
        <f>100*CY108/(1+CY108)</f>
        <v>1.2081326683451281</v>
      </c>
      <c r="DA108" s="85">
        <f t="shared" si="312"/>
        <v>0.27813266834512806</v>
      </c>
      <c r="DB108" s="85">
        <f>ABS(DA108)</f>
        <v>0.27813266834512806</v>
      </c>
      <c r="DC108" s="85">
        <f>DA108^2</f>
        <v>7.7357781200781003E-2</v>
      </c>
      <c r="DD108" s="117"/>
      <c r="DE108" s="97"/>
      <c r="DF108" s="91">
        <f>$DF$2*G108^2 + $DH$2*G108 +$DJ$2</f>
        <v>1.2060264591663217</v>
      </c>
      <c r="DG108" s="85">
        <f t="shared" si="314"/>
        <v>0.27602645916632162</v>
      </c>
      <c r="DH108" s="85">
        <f>ABS(DG108)</f>
        <v>0.27602645916632162</v>
      </c>
      <c r="DI108" s="85">
        <f>DG108^2</f>
        <v>7.619060615989702E-2</v>
      </c>
      <c r="DJ108" s="79"/>
      <c r="DK108" s="117"/>
      <c r="DL108" s="99">
        <f>'Eq. 3 coef.'!$B$15+'Eq. 3 coef.'!$B$16*'Data and calc.'!G108^2+'Eq. 3 coef.'!$B$17*'Data and calc.'!G108+'Eq. 3 coef.'!$B$18*'Data and calc.'!BF108+'Eq. 3 coef.'!$B$19*'Data and calc.'!BG108+'Eq. 3 coef.'!$B$20*'Data and calc.'!BH108+'Eq. 3 coef.'!$B$21*'Data and calc.'!BI108+'Eq. 3 coef.'!$B$22*'Data and calc.'!BJ108+'Eq. 3 coef.'!$B$23*'Data and calc.'!BK108+'Eq. 3 coef.'!$B$24*'Data and calc.'!BL108+'Eq. 3 coef.'!$B$25*'Data and calc.'!BM108+'Eq. 3 coef.'!$B$26*'Data and calc.'!BN108+'Eq. 3 coef.'!$B$27*'Data and calc.'!BO108+'Eq. 3 coef.'!$B$28*'Data and calc.'!BP108</f>
        <v>1.1079998479590358</v>
      </c>
      <c r="DM108" s="85">
        <f t="shared" si="315"/>
        <v>0.17799984795903578</v>
      </c>
      <c r="DN108" s="85">
        <f>ABS(DM108)</f>
        <v>0.17799984795903578</v>
      </c>
      <c r="DO108" s="85">
        <f>DM108^2</f>
        <v>3.1683945873439853E-2</v>
      </c>
      <c r="DP108" s="117"/>
      <c r="DQ108" s="99">
        <f>'Eq. 4 coef.'!$B$15+'Eq. 4 coef.'!$B$16*'Data and calc.'!G108^2+'Eq. 4 coef.'!$B$17*'Data and calc.'!G108+'Eq. 4 coef.'!$B$18*'Data and calc.'!O108+'Eq. 4 coef.'!$B$19*'Data and calc.'!P108+'Eq. 4 coef.'!$B$20*'Data and calc.'!Q108+'Eq. 4 coef.'!$B$21*'Data and calc.'!R108+'Eq. 4 coef.'!$B$22*'Data and calc.'!S108+'Eq. 4 coef.'!$B$23*'Data and calc.'!T108+'Eq. 4 coef.'!$B$24*'Data and calc.'!U108+'Eq. 4 coef.'!$B$25*'Data and calc.'!V108+'Eq. 4 coef.'!$B$26*'Data and calc.'!W108+'Eq. 4 coef.'!$B$27*'Data and calc.'!X108</f>
        <v>1.188346819638582</v>
      </c>
      <c r="DR108" s="85">
        <f t="shared" si="316"/>
        <v>0.25834681963858197</v>
      </c>
      <c r="DS108" s="85">
        <f>ABS(DR108)</f>
        <v>0.25834681963858197</v>
      </c>
      <c r="DT108" s="85">
        <f>DR108^2</f>
        <v>6.6743079217370008E-2</v>
      </c>
      <c r="DU108" s="53"/>
    </row>
    <row r="109" spans="1:125" ht="15" x14ac:dyDescent="0.2">
      <c r="A109" s="67" t="s">
        <v>593</v>
      </c>
      <c r="B109" s="73">
        <v>0.57999999999999996</v>
      </c>
      <c r="C109" s="73">
        <v>0.1</v>
      </c>
      <c r="D109" s="126">
        <f t="shared" si="270"/>
        <v>17.241379310344829</v>
      </c>
      <c r="E109" s="72">
        <f t="shared" si="271"/>
        <v>5.8338362502514578E-3</v>
      </c>
      <c r="F109" s="64">
        <f t="shared" si="272"/>
        <v>1.1603660833166658</v>
      </c>
      <c r="G109" s="73">
        <v>1.0772028979336556</v>
      </c>
      <c r="H109" s="73">
        <v>0.10101821736255387</v>
      </c>
      <c r="I109" s="126">
        <f t="shared" ref="I109:I115" si="321">H109*100/G109</f>
        <v>9.377826364590371</v>
      </c>
      <c r="J109" s="70">
        <v>1210</v>
      </c>
      <c r="K109" s="70">
        <v>204</v>
      </c>
      <c r="L109" s="73">
        <v>3.7111585654754031E-2</v>
      </c>
      <c r="M109" s="70">
        <v>2.6</v>
      </c>
      <c r="N109" s="64">
        <f t="shared" si="273"/>
        <v>-0.26098097858898761</v>
      </c>
      <c r="O109" s="76">
        <v>50.078582129829769</v>
      </c>
      <c r="P109" s="73">
        <v>1.3681126344193624</v>
      </c>
      <c r="Q109" s="73">
        <v>17.972673881615805</v>
      </c>
      <c r="R109" s="73">
        <v>8.2982130189103209</v>
      </c>
      <c r="S109" s="73">
        <v>0.17637932474967263</v>
      </c>
      <c r="T109" s="73">
        <v>7.0449016642841666</v>
      </c>
      <c r="U109" s="73">
        <v>12.154402081575491</v>
      </c>
      <c r="V109" s="73">
        <v>2.6791690028359438</v>
      </c>
      <c r="W109" s="73">
        <v>0.22756626177945882</v>
      </c>
      <c r="X109" s="73">
        <v>0</v>
      </c>
      <c r="Y109" s="73">
        <f t="shared" ref="Y109:Y115" si="322">SUM(O109:X109)</f>
        <v>100</v>
      </c>
      <c r="Z109" s="73">
        <v>2.9067352646154028</v>
      </c>
      <c r="AA109" s="73">
        <v>0.30971143078146418</v>
      </c>
      <c r="AB109" s="59">
        <f t="shared" si="274"/>
        <v>2.0093922061454355</v>
      </c>
      <c r="AC109" s="60">
        <f t="shared" si="275"/>
        <v>6.4879497701306494</v>
      </c>
      <c r="AD109" s="57">
        <f t="shared" si="276"/>
        <v>100.19912895736577</v>
      </c>
      <c r="AE109" s="57"/>
      <c r="AF109" s="57">
        <f t="shared" si="277"/>
        <v>49.788126353476756</v>
      </c>
      <c r="AG109" s="57">
        <f t="shared" si="278"/>
        <v>1.3601775811397301</v>
      </c>
      <c r="AH109" s="57">
        <f t="shared" si="279"/>
        <v>17.868432373102433</v>
      </c>
      <c r="AI109" s="57">
        <f t="shared" si="280"/>
        <v>8.2500833834006411</v>
      </c>
      <c r="AJ109" s="57">
        <f t="shared" si="281"/>
        <v>0.17535632466612455</v>
      </c>
      <c r="AK109" s="57">
        <f t="shared" si="282"/>
        <v>7.0040412346313188</v>
      </c>
      <c r="AL109" s="57">
        <f t="shared" si="283"/>
        <v>12.083906549502354</v>
      </c>
      <c r="AM109" s="57">
        <f t="shared" si="284"/>
        <v>2.6636298226194954</v>
      </c>
      <c r="AN109" s="57">
        <f t="shared" si="285"/>
        <v>0.22624637746113799</v>
      </c>
      <c r="AO109" s="57">
        <f t="shared" si="286"/>
        <v>0</v>
      </c>
      <c r="AP109" s="57">
        <f t="shared" ref="AP109:AP115" si="323">SUM(AF109:AO109)</f>
        <v>99.419999999999987</v>
      </c>
      <c r="AQ109" s="57"/>
      <c r="AR109" s="84">
        <f t="shared" si="287"/>
        <v>49.689180805814544</v>
      </c>
      <c r="AS109" s="85">
        <f t="shared" si="288"/>
        <v>1.3574744564081778</v>
      </c>
      <c r="AT109" s="85">
        <f t="shared" si="289"/>
        <v>17.832921861731315</v>
      </c>
      <c r="AU109" s="85">
        <f t="shared" si="290"/>
        <v>8.2336877268773563</v>
      </c>
      <c r="AV109" s="85">
        <f t="shared" si="291"/>
        <v>0.17500783339218226</v>
      </c>
      <c r="AW109" s="85">
        <f t="shared" si="292"/>
        <v>6.9901218778174243</v>
      </c>
      <c r="AX109" s="85">
        <f t="shared" si="293"/>
        <v>12.05989181267633</v>
      </c>
      <c r="AY109" s="85">
        <f t="shared" si="294"/>
        <v>2.6583363052515718</v>
      </c>
      <c r="AZ109" s="85">
        <f t="shared" si="295"/>
        <v>0.22579675074561245</v>
      </c>
      <c r="BA109" s="85">
        <f t="shared" si="296"/>
        <v>0</v>
      </c>
      <c r="BB109" s="85">
        <f t="shared" ref="BB109:BB115" si="324">SUM(AR109:BA109)</f>
        <v>99.222419430714524</v>
      </c>
      <c r="BC109" s="85">
        <f t="shared" si="297"/>
        <v>1.9937675627897118</v>
      </c>
      <c r="BD109" s="85">
        <f t="shared" si="298"/>
        <v>6.4375007333731125</v>
      </c>
      <c r="BE109" s="85">
        <f t="shared" si="299"/>
        <v>100</v>
      </c>
      <c r="BF109" s="84">
        <f t="shared" si="300"/>
        <v>49.9790593500448</v>
      </c>
      <c r="BG109" s="85">
        <f t="shared" si="301"/>
        <v>1.3653937401007621</v>
      </c>
      <c r="BH109" s="85">
        <f t="shared" si="302"/>
        <v>17.936956207736184</v>
      </c>
      <c r="BI109" s="85">
        <f t="shared" si="303"/>
        <v>2.00539887627209</v>
      </c>
      <c r="BJ109" s="85">
        <f t="shared" si="304"/>
        <v>6.475056058512485</v>
      </c>
      <c r="BK109" s="85">
        <f t="shared" si="305"/>
        <v>0.17602880043470354</v>
      </c>
      <c r="BL109" s="85">
        <f t="shared" si="306"/>
        <v>7.0309011042219112</v>
      </c>
      <c r="BM109" s="85">
        <f t="shared" si="307"/>
        <v>12.130247246707233</v>
      </c>
      <c r="BN109" s="85">
        <f t="shared" si="308"/>
        <v>2.6738446039545076</v>
      </c>
      <c r="BO109" s="85">
        <f t="shared" si="309"/>
        <v>0.22711401201530118</v>
      </c>
      <c r="BP109" s="85">
        <f t="shared" si="310"/>
        <v>0</v>
      </c>
      <c r="BQ109" s="85">
        <f t="shared" ref="BQ109:BQ115" si="325">SUM(BF109:BP109)</f>
        <v>99.999999999999986</v>
      </c>
      <c r="BR109" s="85"/>
      <c r="BS109" s="82">
        <f>AR109/Weights!$B$5*2+AS109/Weights!$B$7*2+AT109/Weights!$B$8*3+'Data and calc.'!BC109/Weights!$B$20*3+'Data and calc.'!BD109/Weights!$B$10+'Data and calc.'!AV109/Weights!$B$11+'Data and calc.'!AW109/Weights!$B$13+'Data and calc.'!AX109/Weights!$B$14+'Data and calc.'!AY109/Weights!$B$15+AZ109/Weights!$B$16+B109/Weights!$B$19+'Data and calc.'!BA109/Weights!$B$6*5</f>
        <v>2.8082208258895034</v>
      </c>
      <c r="BT109" s="84">
        <f>AR109/Weights!$B$5*8/'Data and calc.'!$BS109</f>
        <v>2.3559656753796503</v>
      </c>
      <c r="BU109" s="85">
        <f>AS109/Weights!$B$7*8/'Data and calc.'!$BS109</f>
        <v>4.842101640199685E-2</v>
      </c>
      <c r="BV109" s="85">
        <f>AT109/Weights!$B$8*8/'Data and calc.'!$BS109*2</f>
        <v>0.99650866349608447</v>
      </c>
      <c r="BW109" s="85">
        <f>BC109/Weights!$B$20*8/'Data and calc.'!$BS109*2</f>
        <v>7.1136696128025423E-2</v>
      </c>
      <c r="BX109" s="85">
        <f>BD109/Weights!$B$10*8/'Data and calc.'!$BS109</f>
        <v>0.25526161848577827</v>
      </c>
      <c r="BY109" s="85">
        <f>AV109/Weights!$B$11*8/'Data and calc.'!$BS109</f>
        <v>7.0281841520821392E-3</v>
      </c>
      <c r="BZ109" s="85">
        <f>AW109/Weights!$B$13*8/'Data and calc.'!$BS109</f>
        <v>0.49407778702283367</v>
      </c>
      <c r="CA109" s="85">
        <f>AX109/Weights!$B$14*8/'Data and calc.'!$BS109</f>
        <v>0.61265695956616306</v>
      </c>
      <c r="CB109" s="85">
        <f>AY109/Weights!$B$15*8/'Data and calc.'!$BS109*2</f>
        <v>0.24437530566808743</v>
      </c>
      <c r="CC109" s="85">
        <f>AZ109/Weights!$B$16*8/'Data and calc.'!$BS109*2</f>
        <v>1.3657644312270109E-2</v>
      </c>
      <c r="CD109" s="85">
        <f>BA109/Weights!$B$6*8/'Data and calc.'!$BS109*2</f>
        <v>0</v>
      </c>
      <c r="CE109" s="85">
        <f>B109/Weights!$B$19*8/'Data and calc.'!$BS109*2</f>
        <v>0.18343510556700812</v>
      </c>
      <c r="CF109" s="85">
        <f t="shared" ref="CF109:CF118" si="326">SUM(BT109:BW109)*4</f>
        <v>13.88812820562303</v>
      </c>
      <c r="CG109" s="85">
        <f t="shared" ref="CG109:CG118" si="327">(16-CF109)/SUM(BT109:BW109)</f>
        <v>0.6082523902744259</v>
      </c>
      <c r="CH109" s="85"/>
      <c r="CI109" s="85">
        <f>AR109/Weights!$B$5*2+AS109/Weights!$B$7*2+AT109/Weights!$B$8*3+'Data and calc.'!BC109/Weights!$B$20*3+'Data and calc.'!BD109/Weights!$B$10+'Data and calc.'!AV109/Weights!$B$11+'Data and calc.'!AW109/Weights!$B$13+'Data and calc.'!AX109/Weights!$B$14+'Data and calc.'!AY109/Weights!$B$15+AZ109/Weights!$B$16+'Data and calc.'!BA109/Weights!$B$6*5</f>
        <v>2.7760254331612213</v>
      </c>
      <c r="CJ109" s="84">
        <f>AR109/Weights!$B$5*8/'Data and calc.'!$CI109</f>
        <v>2.3832893588254551</v>
      </c>
      <c r="CK109" s="85">
        <f>AS109/Weights!$B$7*8/'Data and calc.'!$CI109</f>
        <v>4.8982586775503711E-2</v>
      </c>
      <c r="CL109" s="85">
        <f>AT109/Weights!$B$8*8/'Data and calc.'!$CI109*2</f>
        <v>1.0080658298660832</v>
      </c>
      <c r="CM109" s="85">
        <f>BC109/Weights!$B$20*8/'Data and calc.'!$CI109*2</f>
        <v>7.1961715179319263E-2</v>
      </c>
      <c r="CN109" s="85">
        <f>BD109/Weights!$B$10*8/'Data and calc.'!$CI109</f>
        <v>0.2582220553598194</v>
      </c>
      <c r="CO109" s="85">
        <f>AV109/Weights!$B$11*8/'Data and calc.'!$CI109</f>
        <v>7.1096946261001315E-3</v>
      </c>
      <c r="CP109" s="85">
        <f>AW109/Weights!$B$13*8/'Data and calc.'!$CI109</f>
        <v>0.49980793207175939</v>
      </c>
      <c r="CQ109" s="85">
        <f>AX109/Weights!$B$14*8/'Data and calc.'!$CI109</f>
        <v>0.61976234526808227</v>
      </c>
      <c r="CR109" s="85">
        <f>AY109/Weights!$B$15*8/'Data and calc.'!$CI109*2</f>
        <v>0.24720948681250102</v>
      </c>
      <c r="CS109" s="85">
        <f>AZ109/Weights!$B$16*8/'Data and calc.'!$CI109*2</f>
        <v>1.3816040995933051E-2</v>
      </c>
      <c r="CT109" s="85">
        <f>BA109/Weights!$B$6*8/'Data and calc.'!$CI109*2</f>
        <v>0</v>
      </c>
      <c r="CU109" s="85">
        <f t="shared" ref="CU109:CU118" si="328">CJ109*2+CK109*2+CL109*1.5+CM109*1.5+CN109+CO109+CP109+CQ109+CR109*0.5+CS109*0.5+CT109*2.5</f>
        <v>7.9999999999999991</v>
      </c>
      <c r="CV109" s="85">
        <f t="shared" ref="CV109:CV118" si="329">SUM(CJ109:CM109)*4</f>
        <v>14.049197962585446</v>
      </c>
      <c r="CW109" s="85">
        <f t="shared" ref="CW109:CW118" si="330">(16-CV109)/SUM(CJ109:CM109)</f>
        <v>0.55542018629383805</v>
      </c>
      <c r="CX109" s="113"/>
      <c r="CY109" s="90">
        <f t="shared" si="311"/>
        <v>5.6047169512087758E-3</v>
      </c>
      <c r="CZ109" s="91">
        <f t="shared" ref="CZ109:CZ118" si="331">100*CY109/(1+CY109)</f>
        <v>0.55734791779827264</v>
      </c>
      <c r="DA109" s="85">
        <f t="shared" si="312"/>
        <v>-2.2652082201727319E-2</v>
      </c>
      <c r="DB109" s="85">
        <f t="shared" si="318"/>
        <v>2.2652082201727319E-2</v>
      </c>
      <c r="DC109" s="85"/>
      <c r="DD109" s="117"/>
      <c r="DE109" s="97"/>
      <c r="DF109" s="91">
        <f t="shared" si="313"/>
        <v>0.54650231313032194</v>
      </c>
      <c r="DG109" s="85">
        <f t="shared" si="314"/>
        <v>-3.3497686869678023E-2</v>
      </c>
      <c r="DH109" s="85">
        <f t="shared" si="319"/>
        <v>3.3497686869678023E-2</v>
      </c>
      <c r="DI109" s="85">
        <f t="shared" si="320"/>
        <v>1.1220950256189994E-3</v>
      </c>
      <c r="DJ109" s="85"/>
      <c r="DK109" s="117"/>
      <c r="DL109" s="99">
        <f>'Eq. 3 coef.'!$B$15+'Eq. 3 coef.'!$B$16*'Data and calc.'!G109^2+'Eq. 3 coef.'!$B$17*'Data and calc.'!G109+'Eq. 3 coef.'!$B$18*'Data and calc.'!BF109+'Eq. 3 coef.'!$B$19*'Data and calc.'!BG109+'Eq. 3 coef.'!$B$20*'Data and calc.'!BH109+'Eq. 3 coef.'!$B$21*'Data and calc.'!BI109+'Eq. 3 coef.'!$B$22*'Data and calc.'!BJ109+'Eq. 3 coef.'!$B$23*'Data and calc.'!BK109+'Eq. 3 coef.'!$B$24*'Data and calc.'!BL109+'Eq. 3 coef.'!$B$25*'Data and calc.'!BM109+'Eq. 3 coef.'!$B$26*'Data and calc.'!BN109+'Eq. 3 coef.'!$B$27*'Data and calc.'!BO109+'Eq. 3 coef.'!$B$28*'Data and calc.'!BP109</f>
        <v>0.36374578180448225</v>
      </c>
      <c r="DM109" s="85">
        <f t="shared" si="315"/>
        <v>-0.21625421819551771</v>
      </c>
      <c r="DN109" s="85">
        <f t="shared" ref="DN109:DN118" si="332">ABS(DM109)</f>
        <v>0.21625421819551771</v>
      </c>
      <c r="DO109" s="85"/>
      <c r="DP109" s="117"/>
      <c r="DQ109" s="99">
        <f>'Eq. 4 coef.'!$B$15+'Eq. 4 coef.'!$B$16*'Data and calc.'!G109^2+'Eq. 4 coef.'!$B$17*'Data and calc.'!G109+'Eq. 4 coef.'!$B$18*'Data and calc.'!O109+'Eq. 4 coef.'!$B$19*'Data and calc.'!P109+'Eq. 4 coef.'!$B$20*'Data and calc.'!Q109+'Eq. 4 coef.'!$B$21*'Data and calc.'!R109+'Eq. 4 coef.'!$B$22*'Data and calc.'!S109+'Eq. 4 coef.'!$B$23*'Data and calc.'!T109+'Eq. 4 coef.'!$B$24*'Data and calc.'!U109+'Eq. 4 coef.'!$B$25*'Data and calc.'!V109+'Eq. 4 coef.'!$B$26*'Data and calc.'!W109+'Eq. 4 coef.'!$B$27*'Data and calc.'!X109</f>
        <v>0.46390436011370184</v>
      </c>
      <c r="DR109" s="85">
        <f t="shared" si="316"/>
        <v>-0.11609563988629812</v>
      </c>
      <c r="DS109" s="94">
        <f t="shared" si="317"/>
        <v>0.11609563988629812</v>
      </c>
      <c r="DT109" s="85"/>
    </row>
    <row r="110" spans="1:125" ht="15" x14ac:dyDescent="0.2">
      <c r="A110" s="67" t="s">
        <v>590</v>
      </c>
      <c r="B110" s="73">
        <v>1.33</v>
      </c>
      <c r="C110" s="73">
        <v>6.6500000000000004E-2</v>
      </c>
      <c r="D110" s="126">
        <f t="shared" si="270"/>
        <v>5</v>
      </c>
      <c r="E110" s="72">
        <f t="shared" si="271"/>
        <v>1.3479274348839566E-2</v>
      </c>
      <c r="F110" s="64">
        <f t="shared" si="272"/>
        <v>5.2819320825461658</v>
      </c>
      <c r="G110" s="73">
        <v>2.2982454356630768</v>
      </c>
      <c r="H110" s="73">
        <v>0.12037047640680985</v>
      </c>
      <c r="I110" s="126">
        <f t="shared" si="321"/>
        <v>5.2374944180877376</v>
      </c>
      <c r="J110" s="70">
        <v>1170</v>
      </c>
      <c r="K110" s="70">
        <v>205</v>
      </c>
      <c r="L110" s="73">
        <v>0.16746711335512116</v>
      </c>
      <c r="M110" s="70">
        <v>2.6</v>
      </c>
      <c r="N110" s="64">
        <f t="shared" si="273"/>
        <v>1.0478590688271416</v>
      </c>
      <c r="O110" s="76">
        <v>49.891433083300427</v>
      </c>
      <c r="P110" s="73">
        <v>1.0165811290959335</v>
      </c>
      <c r="Q110" s="73">
        <v>15.594157125937624</v>
      </c>
      <c r="R110" s="73">
        <v>9.4551914725621788</v>
      </c>
      <c r="S110" s="73">
        <v>0.16778523489932889</v>
      </c>
      <c r="T110" s="73">
        <v>9.5144097907619418</v>
      </c>
      <c r="U110" s="73">
        <v>12.041058033951835</v>
      </c>
      <c r="V110" s="73">
        <v>2.1910777733912359</v>
      </c>
      <c r="W110" s="73">
        <v>5.9218318199763122E-2</v>
      </c>
      <c r="X110" s="73">
        <v>6.9088037899723648E-2</v>
      </c>
      <c r="Y110" s="73">
        <f t="shared" si="322"/>
        <v>99.999999999999986</v>
      </c>
      <c r="Z110" s="73">
        <v>2.2502960915909989</v>
      </c>
      <c r="AA110" s="73">
        <v>0.6947004393135604</v>
      </c>
      <c r="AB110" s="59">
        <f t="shared" si="274"/>
        <v>4.040040848126643</v>
      </c>
      <c r="AC110" s="60">
        <f t="shared" si="275"/>
        <v>5.8155150328084471</v>
      </c>
      <c r="AD110" s="57">
        <f t="shared" si="276"/>
        <v>100.40036440837291</v>
      </c>
      <c r="AE110" s="57"/>
      <c r="AF110" s="57">
        <f t="shared" si="277"/>
        <v>49.227877023292528</v>
      </c>
      <c r="AG110" s="57">
        <f t="shared" si="278"/>
        <v>1.0030606000789575</v>
      </c>
      <c r="AH110" s="57">
        <f t="shared" si="279"/>
        <v>15.386754836162654</v>
      </c>
      <c r="AI110" s="57">
        <f t="shared" si="280"/>
        <v>9.3294374259771011</v>
      </c>
      <c r="AJ110" s="57">
        <f t="shared" si="281"/>
        <v>0.16555369127516784</v>
      </c>
      <c r="AK110" s="57">
        <f t="shared" si="282"/>
        <v>9.3878681405448088</v>
      </c>
      <c r="AL110" s="57">
        <f t="shared" si="283"/>
        <v>11.880911962100276</v>
      </c>
      <c r="AM110" s="57">
        <f t="shared" si="284"/>
        <v>2.1619364390051325</v>
      </c>
      <c r="AN110" s="57">
        <f t="shared" si="285"/>
        <v>5.8430714567706279E-2</v>
      </c>
      <c r="AO110" s="57">
        <f t="shared" si="286"/>
        <v>6.8169166995657324E-2</v>
      </c>
      <c r="AP110" s="57">
        <f t="shared" si="323"/>
        <v>98.669999999999987</v>
      </c>
      <c r="AQ110" s="57"/>
      <c r="AR110" s="84">
        <f t="shared" si="287"/>
        <v>49.031572059898977</v>
      </c>
      <c r="AS110" s="85">
        <f t="shared" si="288"/>
        <v>0.99906071655184858</v>
      </c>
      <c r="AT110" s="85">
        <f t="shared" si="289"/>
        <v>15.325397399533216</v>
      </c>
      <c r="AU110" s="85">
        <f t="shared" si="290"/>
        <v>9.2922346257929238</v>
      </c>
      <c r="AV110" s="85">
        <f t="shared" si="291"/>
        <v>0.1648935163240916</v>
      </c>
      <c r="AW110" s="85">
        <f t="shared" si="292"/>
        <v>9.35043233743672</v>
      </c>
      <c r="AX110" s="85">
        <f t="shared" si="293"/>
        <v>11.833534700905394</v>
      </c>
      <c r="AY110" s="85">
        <f t="shared" si="294"/>
        <v>2.1533153308204898</v>
      </c>
      <c r="AZ110" s="85">
        <f t="shared" si="295"/>
        <v>5.8197711643797015E-2</v>
      </c>
      <c r="BA110" s="85">
        <f t="shared" si="296"/>
        <v>6.7897330251096524E-2</v>
      </c>
      <c r="BB110" s="85">
        <f t="shared" si="324"/>
        <v>98.276535729158553</v>
      </c>
      <c r="BC110" s="85">
        <f t="shared" si="297"/>
        <v>3.9704121875817808</v>
      </c>
      <c r="BD110" s="85">
        <f t="shared" si="298"/>
        <v>5.715286709052581</v>
      </c>
      <c r="BE110" s="85">
        <f t="shared" si="299"/>
        <v>99.999999999999986</v>
      </c>
      <c r="BF110" s="84">
        <f t="shared" si="300"/>
        <v>49.692482071449255</v>
      </c>
      <c r="BG110" s="85">
        <f t="shared" si="301"/>
        <v>1.0125273300413993</v>
      </c>
      <c r="BH110" s="85">
        <f t="shared" si="302"/>
        <v>15.531972635586518</v>
      </c>
      <c r="BI110" s="85">
        <f t="shared" si="303"/>
        <v>4.0239304627361721</v>
      </c>
      <c r="BJ110" s="85">
        <f t="shared" si="304"/>
        <v>5.7923246265861765</v>
      </c>
      <c r="BK110" s="85">
        <f t="shared" si="305"/>
        <v>0.16711616126896889</v>
      </c>
      <c r="BL110" s="85">
        <f t="shared" si="306"/>
        <v>9.47646938019329</v>
      </c>
      <c r="BM110" s="85">
        <f t="shared" si="307"/>
        <v>11.993042161655412</v>
      </c>
      <c r="BN110" s="85">
        <f t="shared" si="308"/>
        <v>2.1823404589241813</v>
      </c>
      <c r="BO110" s="85">
        <f t="shared" si="309"/>
        <v>5.8982174565518408E-2</v>
      </c>
      <c r="BP110" s="85">
        <f t="shared" si="310"/>
        <v>6.8812536993104814E-2</v>
      </c>
      <c r="BQ110" s="85">
        <f t="shared" si="325"/>
        <v>100</v>
      </c>
      <c r="BR110" s="85"/>
      <c r="BS110" s="82">
        <f>AR110/Weights!$B$5*2+AS110/Weights!$B$7*2+AT110/Weights!$B$8*3+'Data and calc.'!BC110/Weights!$B$20*3+'Data and calc.'!BD110/Weights!$B$10+'Data and calc.'!AV110/Weights!$B$11+'Data and calc.'!AW110/Weights!$B$13+'Data and calc.'!AX110/Weights!$B$14+'Data and calc.'!AY110/Weights!$B$15+AZ110/Weights!$B$16+B110/Weights!$B$19+'Data and calc.'!BA110/Weights!$B$6*5</f>
        <v>2.8191375903235789</v>
      </c>
      <c r="BT110" s="84">
        <f>AR110/Weights!$B$5*8/'Data and calc.'!$BS110</f>
        <v>2.3157833288067655</v>
      </c>
      <c r="BU110" s="85">
        <f>AS110/Weights!$B$7*8/'Data and calc.'!$BS110</f>
        <v>3.5498426353382753E-2</v>
      </c>
      <c r="BV110" s="85">
        <f>AT110/Weights!$B$8*8/'Data and calc.'!$BS110*2</f>
        <v>0.85307123941092555</v>
      </c>
      <c r="BW110" s="85">
        <f>BC110/Weights!$B$20*8/'Data and calc.'!$BS110*2</f>
        <v>0.14111388334812405</v>
      </c>
      <c r="BX110" s="85">
        <f>BD110/Weights!$B$10*8/'Data and calc.'!$BS110</f>
        <v>0.22574660729458312</v>
      </c>
      <c r="BY110" s="85">
        <f>AV110/Weights!$B$11*8/'Data and calc.'!$BS110</f>
        <v>6.5963578317237686E-3</v>
      </c>
      <c r="BZ110" s="85">
        <f>AW110/Weights!$B$13*8/'Data and calc.'!$BS110</f>
        <v>0.65835063111788494</v>
      </c>
      <c r="CA110" s="85">
        <f>AX110/Weights!$B$14*8/'Data and calc.'!$BS110</f>
        <v>0.59882983734912265</v>
      </c>
      <c r="CB110" s="85">
        <f>AY110/Weights!$B$15*8/'Data and calc.'!$BS110*2</f>
        <v>0.19718324577913535</v>
      </c>
      <c r="CC110" s="85">
        <f>AZ110/Weights!$B$16*8/'Data and calc.'!$BS110*2</f>
        <v>3.5065416499938931E-3</v>
      </c>
      <c r="CD110" s="85">
        <f>BA110/Weights!$B$6*8/'Data and calc.'!$BS110*2</f>
        <v>2.7148286783229341E-3</v>
      </c>
      <c r="CE110" s="85">
        <f>B110/Weights!$B$19*8/'Data and calc.'!$BS110*2</f>
        <v>0.41900681307488891</v>
      </c>
      <c r="CF110" s="85">
        <f t="shared" si="326"/>
        <v>13.381867511676793</v>
      </c>
      <c r="CG110" s="85">
        <f t="shared" si="327"/>
        <v>0.78259106542152457</v>
      </c>
      <c r="CH110" s="85"/>
      <c r="CI110" s="85">
        <f>AR110/Weights!$B$5*2+AS110/Weights!$B$7*2+AT110/Weights!$B$8*3+'Data and calc.'!BC110/Weights!$B$20*3+'Data and calc.'!BD110/Weights!$B$10+'Data and calc.'!AV110/Weights!$B$11+'Data and calc.'!AW110/Weights!$B$13+'Data and calc.'!AX110/Weights!$B$14+'Data and calc.'!AY110/Weights!$B$15+AZ110/Weights!$B$16+'Data and calc.'!BA110/Weights!$B$6*5</f>
        <v>2.74531022423976</v>
      </c>
      <c r="CJ110" s="84">
        <f>AR110/Weights!$B$5*8/'Data and calc.'!$CI110</f>
        <v>2.3780597819657041</v>
      </c>
      <c r="CK110" s="85">
        <f>AS110/Weights!$B$7*8/'Data and calc.'!$CI110</f>
        <v>3.6453056287242568E-2</v>
      </c>
      <c r="CL110" s="85">
        <f>AT110/Weights!$B$8*8/'Data and calc.'!$CI110*2</f>
        <v>0.87601218143324588</v>
      </c>
      <c r="CM110" s="85">
        <f>BC110/Weights!$B$20*8/'Data and calc.'!$CI110*2</f>
        <v>0.14490874275361665</v>
      </c>
      <c r="CN110" s="85">
        <f>BD110/Weights!$B$10*8/'Data and calc.'!$CI110</f>
        <v>0.23181742481886949</v>
      </c>
      <c r="CO110" s="85">
        <f>AV110/Weights!$B$11*8/'Data and calc.'!$CI110</f>
        <v>6.7737482483559716E-3</v>
      </c>
      <c r="CP110" s="85">
        <f>AW110/Weights!$B$13*8/'Data and calc.'!$CI110</f>
        <v>0.67605511224570103</v>
      </c>
      <c r="CQ110" s="85">
        <f>AX110/Weights!$B$14*8/'Data and calc.'!$CI110</f>
        <v>0.61493367480746686</v>
      </c>
      <c r="CR110" s="85">
        <f>AY110/Weights!$B$15*8/'Data and calc.'!$CI110*2</f>
        <v>0.20248593235466186</v>
      </c>
      <c r="CS110" s="85">
        <f>AZ110/Weights!$B$16*8/'Data and calc.'!$CI110*2</f>
        <v>3.6008401856553584E-3</v>
      </c>
      <c r="CT110" s="85">
        <f>BA110/Weights!$B$6*8/'Data and calc.'!$CI110*2</f>
        <v>2.7878363293052199E-3</v>
      </c>
      <c r="CU110" s="85">
        <f t="shared" si="328"/>
        <v>8.0000000000000018</v>
      </c>
      <c r="CV110" s="85">
        <f t="shared" si="329"/>
        <v>13.741735049759239</v>
      </c>
      <c r="CW110" s="85">
        <f t="shared" si="330"/>
        <v>0.65734492538635492</v>
      </c>
      <c r="CX110" s="113"/>
      <c r="CY110" s="90">
        <f t="shared" si="311"/>
        <v>1.6117893201059091E-2</v>
      </c>
      <c r="CZ110" s="91">
        <f t="shared" si="331"/>
        <v>1.5862227512088349</v>
      </c>
      <c r="DA110" s="85">
        <f t="shared" si="312"/>
        <v>0.25622275120883486</v>
      </c>
      <c r="DB110" s="85">
        <f t="shared" si="318"/>
        <v>0.25622275120883486</v>
      </c>
      <c r="DC110" s="85"/>
      <c r="DD110" s="117"/>
      <c r="DE110" s="97"/>
      <c r="DF110" s="91">
        <f t="shared" si="313"/>
        <v>1.5884513547440198</v>
      </c>
      <c r="DG110" s="85">
        <f t="shared" si="314"/>
        <v>0.2584513547440197</v>
      </c>
      <c r="DH110" s="85">
        <f t="shared" si="319"/>
        <v>0.2584513547440197</v>
      </c>
      <c r="DI110" s="85">
        <f t="shared" si="320"/>
        <v>6.6797102769019109E-2</v>
      </c>
      <c r="DJ110" s="85"/>
      <c r="DK110" s="117"/>
      <c r="DL110" s="99">
        <f>'Eq. 3 coef.'!$B$15+'Eq. 3 coef.'!$B$16*'Data and calc.'!G110^2+'Eq. 3 coef.'!$B$17*'Data and calc.'!G110+'Eq. 3 coef.'!$B$18*'Data and calc.'!BF110+'Eq. 3 coef.'!$B$19*'Data and calc.'!BG110+'Eq. 3 coef.'!$B$20*'Data and calc.'!BH110+'Eq. 3 coef.'!$B$21*'Data and calc.'!BI110+'Eq. 3 coef.'!$B$22*'Data and calc.'!BJ110+'Eq. 3 coef.'!$B$23*'Data and calc.'!BK110+'Eq. 3 coef.'!$B$24*'Data and calc.'!BL110+'Eq. 3 coef.'!$B$25*'Data and calc.'!BM110+'Eq. 3 coef.'!$B$26*'Data and calc.'!BN110+'Eq. 3 coef.'!$B$27*'Data and calc.'!BO110+'Eq. 3 coef.'!$B$28*'Data and calc.'!BP110</f>
        <v>1.4590035100771956</v>
      </c>
      <c r="DM110" s="85">
        <f t="shared" si="315"/>
        <v>0.12900351007719557</v>
      </c>
      <c r="DN110" s="85">
        <f t="shared" si="332"/>
        <v>0.12900351007719557</v>
      </c>
      <c r="DO110" s="85"/>
      <c r="DP110" s="117"/>
      <c r="DQ110" s="99">
        <f>'Eq. 4 coef.'!$B$15+'Eq. 4 coef.'!$B$16*'Data and calc.'!G110^2+'Eq. 4 coef.'!$B$17*'Data and calc.'!G110+'Eq. 4 coef.'!$B$18*'Data and calc.'!O110+'Eq. 4 coef.'!$B$19*'Data and calc.'!P110+'Eq. 4 coef.'!$B$20*'Data and calc.'!Q110+'Eq. 4 coef.'!$B$21*'Data and calc.'!R110+'Eq. 4 coef.'!$B$22*'Data and calc.'!S110+'Eq. 4 coef.'!$B$23*'Data and calc.'!T110+'Eq. 4 coef.'!$B$24*'Data and calc.'!U110+'Eq. 4 coef.'!$B$25*'Data and calc.'!V110+'Eq. 4 coef.'!$B$26*'Data and calc.'!W110+'Eq. 4 coef.'!$B$27*'Data and calc.'!X110</f>
        <v>1.4944464948689529</v>
      </c>
      <c r="DR110" s="85">
        <f t="shared" si="316"/>
        <v>0.1644464948689528</v>
      </c>
      <c r="DS110" s="94">
        <f t="shared" si="317"/>
        <v>0.1644464948689528</v>
      </c>
      <c r="DT110" s="85"/>
    </row>
    <row r="111" spans="1:125" ht="15" x14ac:dyDescent="0.2">
      <c r="A111" s="67" t="s">
        <v>586</v>
      </c>
      <c r="B111" s="73">
        <v>0.271356783919598</v>
      </c>
      <c r="C111" s="73">
        <v>3.0150753768844216E-2</v>
      </c>
      <c r="D111" s="126">
        <f t="shared" si="270"/>
        <v>11.111111111111109</v>
      </c>
      <c r="E111" s="72">
        <f t="shared" si="271"/>
        <v>2.7209513252040717E-3</v>
      </c>
      <c r="F111" s="64">
        <f t="shared" si="272"/>
        <v>0.36913075610953561</v>
      </c>
      <c r="G111" s="73">
        <v>0.60756131880620545</v>
      </c>
      <c r="H111" s="73">
        <v>3.8684554574048076E-2</v>
      </c>
      <c r="I111" s="126">
        <f t="shared" si="321"/>
        <v>6.3671852332632346</v>
      </c>
      <c r="J111" s="70">
        <v>1220</v>
      </c>
      <c r="K111" s="70">
        <v>203</v>
      </c>
      <c r="L111" s="73">
        <v>9.3835103562521123E-3</v>
      </c>
      <c r="M111" s="70">
        <v>2.6</v>
      </c>
      <c r="N111" s="64">
        <f t="shared" si="273"/>
        <v>-1.4552693247019071</v>
      </c>
      <c r="O111" s="76">
        <v>49.891433083300427</v>
      </c>
      <c r="P111" s="73">
        <v>1.0165811290959335</v>
      </c>
      <c r="Q111" s="73">
        <v>15.594157125937624</v>
      </c>
      <c r="R111" s="73">
        <v>9.4551914725621788</v>
      </c>
      <c r="S111" s="73">
        <v>0.16778523489932889</v>
      </c>
      <c r="T111" s="73">
        <v>9.5144097907619418</v>
      </c>
      <c r="U111" s="73">
        <v>12.041058033951835</v>
      </c>
      <c r="V111" s="73">
        <v>2.1910777733912359</v>
      </c>
      <c r="W111" s="73">
        <v>5.9218318199763122E-2</v>
      </c>
      <c r="X111" s="73">
        <v>6.9088037899723648E-2</v>
      </c>
      <c r="Y111" s="73">
        <f t="shared" si="322"/>
        <v>99.999999999999986</v>
      </c>
      <c r="Z111" s="73">
        <v>2.2502960915909989</v>
      </c>
      <c r="AA111" s="73">
        <v>0.15593130684033335</v>
      </c>
      <c r="AB111" s="59">
        <f t="shared" si="274"/>
        <v>1.2927557710287731</v>
      </c>
      <c r="AC111" s="60">
        <f t="shared" si="275"/>
        <v>8.2905466337975184</v>
      </c>
      <c r="AD111" s="57">
        <f t="shared" si="276"/>
        <v>100.12811093226412</v>
      </c>
      <c r="AE111" s="57"/>
      <c r="AF111" s="57">
        <f t="shared" si="277"/>
        <v>49.756049295034181</v>
      </c>
      <c r="AG111" s="57">
        <f t="shared" si="278"/>
        <v>1.0138225672380852</v>
      </c>
      <c r="AH111" s="57">
        <f t="shared" si="279"/>
        <v>15.551841322681309</v>
      </c>
      <c r="AI111" s="57">
        <f t="shared" si="280"/>
        <v>9.4295341690687948</v>
      </c>
      <c r="AJ111" s="57">
        <f t="shared" si="281"/>
        <v>0.16732993828201412</v>
      </c>
      <c r="AK111" s="57">
        <f t="shared" si="282"/>
        <v>9.4885917943447993</v>
      </c>
      <c r="AL111" s="57">
        <f t="shared" si="283"/>
        <v>12.00838380612101</v>
      </c>
      <c r="AM111" s="57">
        <f t="shared" si="284"/>
        <v>2.1851321352121844</v>
      </c>
      <c r="AN111" s="57">
        <f t="shared" si="285"/>
        <v>5.9057625276004971E-2</v>
      </c>
      <c r="AO111" s="57">
        <f t="shared" si="286"/>
        <v>6.8900562822005809E-2</v>
      </c>
      <c r="AP111" s="57">
        <f t="shared" si="323"/>
        <v>99.7286432160804</v>
      </c>
      <c r="AQ111" s="57"/>
      <c r="AR111" s="84">
        <f t="shared" si="287"/>
        <v>49.69238791361375</v>
      </c>
      <c r="AS111" s="85">
        <f t="shared" si="288"/>
        <v>1.0125254114940092</v>
      </c>
      <c r="AT111" s="85">
        <f t="shared" si="289"/>
        <v>15.531943205442083</v>
      </c>
      <c r="AU111" s="85">
        <f t="shared" si="290"/>
        <v>9.4174693612743781</v>
      </c>
      <c r="AV111" s="85">
        <f t="shared" si="291"/>
        <v>0.16711584461551612</v>
      </c>
      <c r="AW111" s="85">
        <f t="shared" si="292"/>
        <v>9.476451424079853</v>
      </c>
      <c r="AX111" s="85">
        <f t="shared" si="293"/>
        <v>11.993019437113507</v>
      </c>
      <c r="AY111" s="85">
        <f t="shared" si="294"/>
        <v>2.1823363238026223</v>
      </c>
      <c r="AZ111" s="85">
        <f t="shared" si="295"/>
        <v>5.8982062805476264E-2</v>
      </c>
      <c r="BA111" s="85">
        <f t="shared" si="296"/>
        <v>6.8812406606388987E-2</v>
      </c>
      <c r="BB111" s="85">
        <f t="shared" si="324"/>
        <v>99.601043390847565</v>
      </c>
      <c r="BC111" s="85">
        <f t="shared" si="297"/>
        <v>1.2875982364400547</v>
      </c>
      <c r="BD111" s="85">
        <f t="shared" si="298"/>
        <v>8.2574709500671197</v>
      </c>
      <c r="BE111" s="85">
        <f t="shared" si="299"/>
        <v>99.999999999999972</v>
      </c>
      <c r="BF111" s="84">
        <f t="shared" si="300"/>
        <v>49.827598482359853</v>
      </c>
      <c r="BG111" s="85">
        <f t="shared" si="301"/>
        <v>1.0152804438542167</v>
      </c>
      <c r="BH111" s="85">
        <f t="shared" si="302"/>
        <v>15.574204866889925</v>
      </c>
      <c r="BI111" s="85">
        <f t="shared" si="303"/>
        <v>1.2911017285678268</v>
      </c>
      <c r="BJ111" s="85">
        <f t="shared" si="304"/>
        <v>8.2799391265915396</v>
      </c>
      <c r="BK111" s="85">
        <f t="shared" si="305"/>
        <v>0.16757055869438534</v>
      </c>
      <c r="BL111" s="85">
        <f t="shared" si="306"/>
        <v>9.5022363871404352</v>
      </c>
      <c r="BM111" s="85">
        <f t="shared" si="307"/>
        <v>12.025651859244119</v>
      </c>
      <c r="BN111" s="85">
        <f t="shared" si="308"/>
        <v>2.1882743547149142</v>
      </c>
      <c r="BO111" s="85">
        <f t="shared" si="309"/>
        <v>5.9142550127430089E-2</v>
      </c>
      <c r="BP111" s="85">
        <f t="shared" si="310"/>
        <v>6.8999641815335119E-2</v>
      </c>
      <c r="BQ111" s="85">
        <f t="shared" si="325"/>
        <v>100</v>
      </c>
      <c r="BR111" s="85"/>
      <c r="BS111" s="82">
        <f>AR111/Weights!$B$5*2+AS111/Weights!$B$7*2+AT111/Weights!$B$8*3+'Data and calc.'!BC111/Weights!$B$20*3+'Data and calc.'!BD111/Weights!$B$10+'Data and calc.'!AV111/Weights!$B$11+'Data and calc.'!AW111/Weights!$B$13+'Data and calc.'!AX111/Weights!$B$14+'Data and calc.'!AY111/Weights!$B$15+AZ111/Weights!$B$16+B111/Weights!$B$19+'Data and calc.'!BA111/Weights!$B$6*5</f>
        <v>2.7802785558240344</v>
      </c>
      <c r="BT111" s="84">
        <f>AR111/Weights!$B$5*8/'Data and calc.'!$BS111</f>
        <v>2.3797971194214016</v>
      </c>
      <c r="BU111" s="85">
        <f>AS111/Weights!$B$7*8/'Data and calc.'!$BS111</f>
        <v>3.6479687770833845E-2</v>
      </c>
      <c r="BV111" s="85">
        <f>AT111/Weights!$B$8*8/'Data and calc.'!$BS111*2</f>
        <v>0.87665216903405918</v>
      </c>
      <c r="BW111" s="85">
        <f>BC111/Weights!$B$20*8/'Data and calc.'!$BS111*2</f>
        <v>4.6402618002924716E-2</v>
      </c>
      <c r="BX111" s="85">
        <f>BD111/Weights!$B$10*8/'Data and calc.'!$BS111</f>
        <v>0.33071830031805621</v>
      </c>
      <c r="BY111" s="85">
        <f>AV111/Weights!$B$11*8/'Data and calc.'!$BS111</f>
        <v>6.7786969408306433E-3</v>
      </c>
      <c r="BZ111" s="85">
        <f>AW111/Weights!$B$13*8/'Data and calc.'!$BS111</f>
        <v>0.67654901735167328</v>
      </c>
      <c r="CA111" s="85">
        <f>AX111/Weights!$B$14*8/'Data and calc.'!$BS111</f>
        <v>0.61538292646804926</v>
      </c>
      <c r="CB111" s="85">
        <f>AY111/Weights!$B$15*8/'Data and calc.'!$BS111*2</f>
        <v>0.20263386235928132</v>
      </c>
      <c r="CC111" s="85">
        <f>AZ111/Weights!$B$16*8/'Data and calc.'!$BS111*2</f>
        <v>3.6034708489271405E-3</v>
      </c>
      <c r="CD111" s="85">
        <f>BA111/Weights!$B$6*8/'Data and calc.'!$BS111*2</f>
        <v>2.7898730369237531E-3</v>
      </c>
      <c r="CE111" s="85">
        <f>B111/Weights!$B$19*8/'Data and calc.'!$BS111*2</f>
        <v>8.6683829570060725E-2</v>
      </c>
      <c r="CF111" s="85">
        <f t="shared" si="326"/>
        <v>13.357326376916879</v>
      </c>
      <c r="CG111" s="85">
        <f t="shared" si="327"/>
        <v>0.79137801937668906</v>
      </c>
      <c r="CH111" s="85"/>
      <c r="CI111" s="85">
        <f>AR111/Weights!$B$5*2+AS111/Weights!$B$7*2+AT111/Weights!$B$8*3+'Data and calc.'!BC111/Weights!$B$20*3+'Data and calc.'!BD111/Weights!$B$10+'Data and calc.'!AV111/Weights!$B$11+'Data and calc.'!AW111/Weights!$B$13+'Data and calc.'!AX111/Weights!$B$14+'Data and calc.'!AY111/Weights!$B$15+AZ111/Weights!$B$16+'Data and calc.'!BA111/Weights!$B$6*5</f>
        <v>2.7652157312933876</v>
      </c>
      <c r="CJ111" s="84">
        <f>AR111/Weights!$B$5*8/'Data and calc.'!$CI111</f>
        <v>2.3927604719811009</v>
      </c>
      <c r="CK111" s="85">
        <f>AS111/Weights!$B$7*8/'Data and calc.'!$CI111</f>
        <v>3.6678401791445839E-2</v>
      </c>
      <c r="CL111" s="85">
        <f>AT111/Weights!$B$8*8/'Data and calc.'!$CI111*2</f>
        <v>0.88142751355677917</v>
      </c>
      <c r="CM111" s="85">
        <f>BC111/Weights!$B$20*8/'Data and calc.'!$CI111*2</f>
        <v>4.6655384716505419E-2</v>
      </c>
      <c r="CN111" s="85">
        <f>BD111/Weights!$B$10*8/'Data and calc.'!$CI111</f>
        <v>0.33251980595480973</v>
      </c>
      <c r="CO111" s="85">
        <f>AV111/Weights!$B$11*8/'Data and calc.'!$CI111</f>
        <v>6.8156222054350088E-3</v>
      </c>
      <c r="CP111" s="85">
        <f>AW111/Weights!$B$13*8/'Data and calc.'!$CI111</f>
        <v>0.68023434975428587</v>
      </c>
      <c r="CQ111" s="85">
        <f>AX111/Weights!$B$14*8/'Data and calc.'!$CI111</f>
        <v>0.61873507181267617</v>
      </c>
      <c r="CR111" s="85">
        <f>AY111/Weights!$B$15*8/'Data and calc.'!$CI111*2</f>
        <v>0.20373765989599557</v>
      </c>
      <c r="CS111" s="85">
        <f>AZ111/Weights!$B$16*8/'Data and calc.'!$CI111*2</f>
        <v>3.6230998595986885E-3</v>
      </c>
      <c r="CT111" s="85">
        <f>BA111/Weights!$B$6*8/'Data and calc.'!$CI111*2</f>
        <v>2.8050701759904794E-3</v>
      </c>
      <c r="CU111" s="85">
        <f t="shared" si="328"/>
        <v>8</v>
      </c>
      <c r="CV111" s="85">
        <f t="shared" si="329"/>
        <v>13.430087088183324</v>
      </c>
      <c r="CW111" s="85">
        <f t="shared" si="330"/>
        <v>0.76541958214935324</v>
      </c>
      <c r="CX111" s="113"/>
      <c r="CY111" s="90">
        <f t="shared" si="311"/>
        <v>1.5611029549214288E-3</v>
      </c>
      <c r="CZ111" s="91">
        <f t="shared" si="331"/>
        <v>0.1558669711029794</v>
      </c>
      <c r="DA111" s="85">
        <f t="shared" si="312"/>
        <v>-0.1154898128166186</v>
      </c>
      <c r="DB111" s="85">
        <f t="shared" si="318"/>
        <v>0.1154898128166186</v>
      </c>
      <c r="DC111" s="85"/>
      <c r="DD111" s="117"/>
      <c r="DE111" s="97"/>
      <c r="DF111" s="91">
        <f t="shared" si="313"/>
        <v>0.1389078162913045</v>
      </c>
      <c r="DG111" s="85">
        <f t="shared" si="314"/>
        <v>-0.1324489676282935</v>
      </c>
      <c r="DH111" s="85">
        <f t="shared" si="319"/>
        <v>0.1324489676282935</v>
      </c>
      <c r="DI111" s="85">
        <f t="shared" si="320"/>
        <v>1.754272902580074E-2</v>
      </c>
      <c r="DJ111" s="85"/>
      <c r="DK111" s="117"/>
      <c r="DL111" s="99">
        <f>'Eq. 3 coef.'!$B$15+'Eq. 3 coef.'!$B$16*'Data and calc.'!G111^2+'Eq. 3 coef.'!$B$17*'Data and calc.'!G111+'Eq. 3 coef.'!$B$18*'Data and calc.'!BF111+'Eq. 3 coef.'!$B$19*'Data and calc.'!BG111+'Eq. 3 coef.'!$B$20*'Data and calc.'!BH111+'Eq. 3 coef.'!$B$21*'Data and calc.'!BI111+'Eq. 3 coef.'!$B$22*'Data and calc.'!BJ111+'Eq. 3 coef.'!$B$23*'Data and calc.'!BK111+'Eq. 3 coef.'!$B$24*'Data and calc.'!BL111+'Eq. 3 coef.'!$B$25*'Data and calc.'!BM111+'Eq. 3 coef.'!$B$26*'Data and calc.'!BN111+'Eq. 3 coef.'!$B$27*'Data and calc.'!BO111+'Eq. 3 coef.'!$B$28*'Data and calc.'!BP111</f>
        <v>3.7248200892804562E-2</v>
      </c>
      <c r="DM111" s="85">
        <f t="shared" si="315"/>
        <v>-0.23410858302679344</v>
      </c>
      <c r="DN111" s="85">
        <f t="shared" si="332"/>
        <v>0.23410858302679344</v>
      </c>
      <c r="DO111" s="85"/>
      <c r="DP111" s="117"/>
      <c r="DQ111" s="99">
        <f>'Eq. 4 coef.'!$B$15+'Eq. 4 coef.'!$B$16*'Data and calc.'!G111^2+'Eq. 4 coef.'!$B$17*'Data and calc.'!G111+'Eq. 4 coef.'!$B$18*'Data and calc.'!O111+'Eq. 4 coef.'!$B$19*'Data and calc.'!P111+'Eq. 4 coef.'!$B$20*'Data and calc.'!Q111+'Eq. 4 coef.'!$B$21*'Data and calc.'!R111+'Eq. 4 coef.'!$B$22*'Data and calc.'!S111+'Eq. 4 coef.'!$B$23*'Data and calc.'!T111+'Eq. 4 coef.'!$B$24*'Data and calc.'!U111+'Eq. 4 coef.'!$B$25*'Data and calc.'!V111+'Eq. 4 coef.'!$B$26*'Data and calc.'!W111+'Eq. 4 coef.'!$B$27*'Data and calc.'!X111</f>
        <v>5.9198016553182242E-2</v>
      </c>
      <c r="DR111" s="85">
        <f t="shared" si="316"/>
        <v>-0.21215876736641576</v>
      </c>
      <c r="DS111" s="94">
        <f t="shared" si="317"/>
        <v>0.21215876736641576</v>
      </c>
      <c r="DT111" s="85"/>
    </row>
    <row r="112" spans="1:125" ht="15" x14ac:dyDescent="0.2">
      <c r="A112" s="67" t="s">
        <v>587</v>
      </c>
      <c r="B112" s="73">
        <v>3.670374115267947</v>
      </c>
      <c r="C112" s="73">
        <v>4.0444893832153689E-2</v>
      </c>
      <c r="D112" s="126">
        <f t="shared" si="270"/>
        <v>1.1019283746556476</v>
      </c>
      <c r="E112" s="72">
        <f t="shared" si="271"/>
        <v>3.8102235751023401E-2</v>
      </c>
      <c r="F112" s="64">
        <f t="shared" si="272"/>
        <v>19.248992394144196</v>
      </c>
      <c r="G112" s="73">
        <v>4.3873673648492435</v>
      </c>
      <c r="H112" s="73">
        <v>0.13930016060912614</v>
      </c>
      <c r="I112" s="126">
        <f t="shared" si="321"/>
        <v>3.1750284173869883</v>
      </c>
      <c r="J112" s="70">
        <v>1130</v>
      </c>
      <c r="K112" s="70">
        <v>203</v>
      </c>
      <c r="L112" s="73">
        <v>0.76188983618092332</v>
      </c>
      <c r="M112" s="70">
        <v>2.6</v>
      </c>
      <c r="N112" s="64">
        <f t="shared" si="273"/>
        <v>2.363784360008649</v>
      </c>
      <c r="O112" s="76">
        <v>49.891433083300427</v>
      </c>
      <c r="P112" s="73">
        <v>1.0165811290959335</v>
      </c>
      <c r="Q112" s="73">
        <v>15.594157125937624</v>
      </c>
      <c r="R112" s="73">
        <v>9.4551914725621788</v>
      </c>
      <c r="S112" s="73">
        <v>0.16778523489932889</v>
      </c>
      <c r="T112" s="73">
        <v>9.5144097907619418</v>
      </c>
      <c r="U112" s="73">
        <v>12.041058033951835</v>
      </c>
      <c r="V112" s="73">
        <v>2.1910777733912359</v>
      </c>
      <c r="W112" s="73">
        <v>5.9218318199763122E-2</v>
      </c>
      <c r="X112" s="73">
        <v>6.9088037899723648E-2</v>
      </c>
      <c r="Y112" s="73">
        <f t="shared" si="322"/>
        <v>99.999999999999986</v>
      </c>
      <c r="Z112" s="73">
        <v>2.2502960915909989</v>
      </c>
      <c r="AA112" s="73">
        <v>1.5491633725985017</v>
      </c>
      <c r="AB112" s="59">
        <f t="shared" si="274"/>
        <v>6.1142825867193471</v>
      </c>
      <c r="AC112" s="60">
        <f t="shared" si="275"/>
        <v>3.9468287818240286</v>
      </c>
      <c r="AD112" s="57">
        <f t="shared" si="276"/>
        <v>100.60591989598119</v>
      </c>
      <c r="AE112" s="57"/>
      <c r="AF112" s="57">
        <f t="shared" si="277"/>
        <v>48.060230837674737</v>
      </c>
      <c r="AG112" s="57">
        <f t="shared" si="278"/>
        <v>0.97926879847289772</v>
      </c>
      <c r="AH112" s="57">
        <f t="shared" si="279"/>
        <v>15.021793219292997</v>
      </c>
      <c r="AI112" s="57">
        <f t="shared" si="280"/>
        <v>9.1081505722042344</v>
      </c>
      <c r="AJ112" s="57">
        <f t="shared" si="281"/>
        <v>0.16162688906834241</v>
      </c>
      <c r="AK112" s="57">
        <f t="shared" si="282"/>
        <v>9.1651953565812967</v>
      </c>
      <c r="AL112" s="57">
        <f t="shared" si="283"/>
        <v>11.599106156669274</v>
      </c>
      <c r="AM112" s="57">
        <f t="shared" si="284"/>
        <v>2.1106570219512948</v>
      </c>
      <c r="AN112" s="57">
        <f t="shared" si="285"/>
        <v>5.7044784377062008E-2</v>
      </c>
      <c r="AO112" s="57">
        <f t="shared" si="286"/>
        <v>6.655224843990569E-2</v>
      </c>
      <c r="AP112" s="57">
        <f t="shared" si="323"/>
        <v>96.329625884732039</v>
      </c>
      <c r="AQ112" s="57"/>
      <c r="AR112" s="84">
        <f t="shared" si="287"/>
        <v>47.770778188167583</v>
      </c>
      <c r="AS112" s="85">
        <f t="shared" si="288"/>
        <v>0.97337095022379061</v>
      </c>
      <c r="AT112" s="85">
        <f t="shared" si="289"/>
        <v>14.931321372364946</v>
      </c>
      <c r="AU112" s="85">
        <f t="shared" si="290"/>
        <v>9.0532948574212782</v>
      </c>
      <c r="AV112" s="85">
        <f t="shared" si="291"/>
        <v>0.16065345780392667</v>
      </c>
      <c r="AW112" s="85">
        <f t="shared" si="292"/>
        <v>9.1099960778226627</v>
      </c>
      <c r="AX112" s="85">
        <f t="shared" si="293"/>
        <v>11.529248148281793</v>
      </c>
      <c r="AY112" s="85">
        <f t="shared" si="294"/>
        <v>2.0979451548512773</v>
      </c>
      <c r="AZ112" s="85">
        <f t="shared" si="295"/>
        <v>5.6701220401385866E-2</v>
      </c>
      <c r="BA112" s="85">
        <f t="shared" si="296"/>
        <v>6.6151423801616857E-2</v>
      </c>
      <c r="BB112" s="85">
        <f t="shared" si="324"/>
        <v>95.749460851140242</v>
      </c>
      <c r="BC112" s="85">
        <f t="shared" si="297"/>
        <v>5.8543926116989287</v>
      </c>
      <c r="BD112" s="85">
        <f t="shared" si="298"/>
        <v>3.7790672793141349</v>
      </c>
      <c r="BE112" s="85">
        <f t="shared" si="299"/>
        <v>99.999999999999972</v>
      </c>
      <c r="BF112" s="84">
        <f t="shared" si="300"/>
        <v>49.590951640702997</v>
      </c>
      <c r="BG112" s="85">
        <f t="shared" si="301"/>
        <v>1.0104585596424152</v>
      </c>
      <c r="BH112" s="85">
        <f t="shared" si="302"/>
        <v>15.50023809936909</v>
      </c>
      <c r="BI112" s="85">
        <f t="shared" si="303"/>
        <v>6.0774580591689311</v>
      </c>
      <c r="BJ112" s="85">
        <f t="shared" si="304"/>
        <v>3.9230581917095408</v>
      </c>
      <c r="BK112" s="85">
        <f t="shared" si="305"/>
        <v>0.166774713727389</v>
      </c>
      <c r="BL112" s="85">
        <f t="shared" si="306"/>
        <v>9.4571072960707596</v>
      </c>
      <c r="BM112" s="85">
        <f t="shared" si="307"/>
        <v>11.968538279259676</v>
      </c>
      <c r="BN112" s="85">
        <f t="shared" si="308"/>
        <v>2.177881555734138</v>
      </c>
      <c r="BO112" s="85">
        <f t="shared" si="309"/>
        <v>5.8861663668490209E-2</v>
      </c>
      <c r="BP112" s="85">
        <f t="shared" si="310"/>
        <v>6.8671940946571919E-2</v>
      </c>
      <c r="BQ112" s="85">
        <f t="shared" si="325"/>
        <v>100</v>
      </c>
      <c r="BR112" s="85"/>
      <c r="BS112" s="82">
        <f>AR112/Weights!$B$5*2+AS112/Weights!$B$7*2+AT112/Weights!$B$8*3+'Data and calc.'!BC112/Weights!$B$20*3+'Data and calc.'!BD112/Weights!$B$10+'Data and calc.'!AV112/Weights!$B$11+'Data and calc.'!AW112/Weights!$B$13+'Data and calc.'!AX112/Weights!$B$14+'Data and calc.'!AY112/Weights!$B$15+AZ112/Weights!$B$16+B112/Weights!$B$19+'Data and calc.'!BA112/Weights!$B$6*5</f>
        <v>2.8908645802007857</v>
      </c>
      <c r="BT112" s="84">
        <f>AR112/Weights!$B$5*8/'Data and calc.'!$BS112</f>
        <v>2.2002546409345309</v>
      </c>
      <c r="BU112" s="85">
        <f>AS112/Weights!$B$7*8/'Data and calc.'!$BS112</f>
        <v>3.372749788735542E-2</v>
      </c>
      <c r="BV112" s="85">
        <f>AT112/Weights!$B$8*8/'Data and calc.'!$BS112*2</f>
        <v>0.81051363062052706</v>
      </c>
      <c r="BW112" s="85">
        <f>BC112/Weights!$B$20*8/'Data and calc.'!$BS112*2</f>
        <v>0.20291049797323257</v>
      </c>
      <c r="BX112" s="85">
        <f>BD112/Weights!$B$10*8/'Data and calc.'!$BS112</f>
        <v>0.14556479683163162</v>
      </c>
      <c r="BY112" s="85">
        <f>AV112/Weights!$B$11*8/'Data and calc.'!$BS112</f>
        <v>6.2672818963565979E-3</v>
      </c>
      <c r="BZ112" s="85">
        <f>AW112/Weights!$B$13*8/'Data and calc.'!$BS112</f>
        <v>0.62550715063040052</v>
      </c>
      <c r="CA112" s="85">
        <f>AX112/Weights!$B$14*8/'Data and calc.'!$BS112</f>
        <v>0.56895570167023135</v>
      </c>
      <c r="CB112" s="85">
        <f>AY112/Weights!$B$15*8/'Data and calc.'!$BS112*2</f>
        <v>0.18734626259859327</v>
      </c>
      <c r="CC112" s="85">
        <f>AZ112/Weights!$B$16*8/'Data and calc.'!$BS112*2</f>
        <v>3.3316089821773965E-3</v>
      </c>
      <c r="CD112" s="85">
        <f>BA112/Weights!$B$6*8/'Data and calc.'!$BS112*2</f>
        <v>2.5793926074681671E-3</v>
      </c>
      <c r="CE112" s="85">
        <f>B112/Weights!$B$19*8/'Data and calc.'!$BS112*2</f>
        <v>1.1276343622558291</v>
      </c>
      <c r="CF112" s="85">
        <f t="shared" si="326"/>
        <v>12.989625069662585</v>
      </c>
      <c r="CG112" s="85">
        <f t="shared" si="327"/>
        <v>0.92700902888049608</v>
      </c>
      <c r="CH112" s="85"/>
      <c r="CI112" s="85">
        <f>AR112/Weights!$B$5*2+AS112/Weights!$B$7*2+AT112/Weights!$B$8*3+'Data and calc.'!BC112/Weights!$B$20*3+'Data and calc.'!BD112/Weights!$B$10+'Data and calc.'!AV112/Weights!$B$11+'Data and calc.'!AW112/Weights!$B$13+'Data and calc.'!AX112/Weights!$B$14+'Data and calc.'!AY112/Weights!$B$15+AZ112/Weights!$B$16+'Data and calc.'!BA112/Weights!$B$6*5</f>
        <v>2.6871246903718684</v>
      </c>
      <c r="CJ112" s="84">
        <f>AR112/Weights!$B$5*8/'Data and calc.'!$CI112</f>
        <v>2.3670796638840721</v>
      </c>
      <c r="CK112" s="85">
        <f>AS112/Weights!$B$7*8/'Data and calc.'!$CI112</f>
        <v>3.6284743082711006E-2</v>
      </c>
      <c r="CL112" s="85">
        <f>AT112/Weights!$B$8*8/'Data and calc.'!$CI112*2</f>
        <v>0.87196740624885838</v>
      </c>
      <c r="CM112" s="85">
        <f>BC112/Weights!$B$20*8/'Data and calc.'!$CI112*2</f>
        <v>0.21829533018824823</v>
      </c>
      <c r="CN112" s="85">
        <f>BD112/Weights!$B$10*8/'Data and calc.'!$CI112</f>
        <v>0.15660163325969523</v>
      </c>
      <c r="CO112" s="85">
        <f>AV112/Weights!$B$11*8/'Data and calc.'!$CI112</f>
        <v>6.742472097862935E-3</v>
      </c>
      <c r="CP112" s="85">
        <f>AW112/Weights!$B$13*8/'Data and calc.'!$CI112</f>
        <v>0.67293359065131431</v>
      </c>
      <c r="CQ112" s="85">
        <f>AX112/Weights!$B$14*8/'Data and calc.'!$CI112</f>
        <v>0.61209436672406081</v>
      </c>
      <c r="CR112" s="85">
        <f>AY112/Weights!$B$15*8/'Data and calc.'!$CI112*2</f>
        <v>0.20155100234828258</v>
      </c>
      <c r="CS112" s="85">
        <f>AZ112/Weights!$B$16*8/'Data and calc.'!$CI112*2</f>
        <v>3.5842141736722203E-3</v>
      </c>
      <c r="CT112" s="85">
        <f>BA112/Weights!$B$6*8/'Data and calc.'!$CI112*2</f>
        <v>2.7749641667464088E-3</v>
      </c>
      <c r="CU112" s="85">
        <f t="shared" si="328"/>
        <v>8.0000000000000036</v>
      </c>
      <c r="CV112" s="85">
        <f t="shared" si="329"/>
        <v>13.974508573615559</v>
      </c>
      <c r="CW112" s="85">
        <f t="shared" si="330"/>
        <v>0.57976748612359841</v>
      </c>
      <c r="CX112" s="113"/>
      <c r="CY112" s="90">
        <f t="shared" si="311"/>
        <v>3.4105233011351987E-2</v>
      </c>
      <c r="CZ112" s="91">
        <f t="shared" si="331"/>
        <v>3.2980427835217805</v>
      </c>
      <c r="DA112" s="85">
        <f t="shared" si="312"/>
        <v>-0.37233133174616651</v>
      </c>
      <c r="DB112" s="85">
        <f t="shared" si="318"/>
        <v>0.37233133174616651</v>
      </c>
      <c r="DC112" s="85"/>
      <c r="DD112" s="117"/>
      <c r="DE112" s="97"/>
      <c r="DF112" s="91">
        <f t="shared" si="313"/>
        <v>3.3116152645557428</v>
      </c>
      <c r="DG112" s="85">
        <f t="shared" si="314"/>
        <v>-0.35875885071220415</v>
      </c>
      <c r="DH112" s="85">
        <f t="shared" si="319"/>
        <v>0.35875885071220415</v>
      </c>
      <c r="DI112" s="85">
        <f t="shared" si="320"/>
        <v>0.12870791296434159</v>
      </c>
      <c r="DJ112" s="85"/>
      <c r="DK112" s="117"/>
      <c r="DL112" s="99">
        <f>'Eq. 3 coef.'!$B$15+'Eq. 3 coef.'!$B$16*'Data and calc.'!G112^2+'Eq. 3 coef.'!$B$17*'Data and calc.'!G112+'Eq. 3 coef.'!$B$18*'Data and calc.'!BF112+'Eq. 3 coef.'!$B$19*'Data and calc.'!BG112+'Eq. 3 coef.'!$B$20*'Data and calc.'!BH112+'Eq. 3 coef.'!$B$21*'Data and calc.'!BI112+'Eq. 3 coef.'!$B$22*'Data and calc.'!BJ112+'Eq. 3 coef.'!$B$23*'Data and calc.'!BK112+'Eq. 3 coef.'!$B$24*'Data and calc.'!BL112+'Eq. 3 coef.'!$B$25*'Data and calc.'!BM112+'Eq. 3 coef.'!$B$26*'Data and calc.'!BN112+'Eq. 3 coef.'!$B$27*'Data and calc.'!BO112+'Eq. 3 coef.'!$B$28*'Data and calc.'!BP112</f>
        <v>3.155177703569052</v>
      </c>
      <c r="DM112" s="85">
        <f t="shared" si="315"/>
        <v>-0.51519641169889496</v>
      </c>
      <c r="DN112" s="85">
        <f t="shared" si="332"/>
        <v>0.51519641169889496</v>
      </c>
      <c r="DO112" s="85"/>
      <c r="DP112" s="117"/>
      <c r="DQ112" s="99">
        <f>'Eq. 4 coef.'!$B$15+'Eq. 4 coef.'!$B$16*'Data and calc.'!G112^2+'Eq. 4 coef.'!$B$17*'Data and calc.'!G112+'Eq. 4 coef.'!$B$18*'Data and calc.'!O112+'Eq. 4 coef.'!$B$19*'Data and calc.'!P112+'Eq. 4 coef.'!$B$20*'Data and calc.'!Q112+'Eq. 4 coef.'!$B$21*'Data and calc.'!R112+'Eq. 4 coef.'!$B$22*'Data and calc.'!S112+'Eq. 4 coef.'!$B$23*'Data and calc.'!T112+'Eq. 4 coef.'!$B$24*'Data and calc.'!U112+'Eq. 4 coef.'!$B$25*'Data and calc.'!V112+'Eq. 4 coef.'!$B$26*'Data and calc.'!W112+'Eq. 4 coef.'!$B$27*'Data and calc.'!X112</f>
        <v>3.1963593914601915</v>
      </c>
      <c r="DR112" s="85">
        <f t="shared" si="316"/>
        <v>-0.47401472380775544</v>
      </c>
      <c r="DS112" s="94">
        <f t="shared" si="317"/>
        <v>0.47401472380775544</v>
      </c>
      <c r="DT112" s="85"/>
    </row>
    <row r="113" spans="1:124" ht="15" x14ac:dyDescent="0.2">
      <c r="A113" s="67" t="s">
        <v>588</v>
      </c>
      <c r="B113" s="73">
        <v>2.9806714140386577</v>
      </c>
      <c r="C113" s="73">
        <v>3.0518819938962358E-2</v>
      </c>
      <c r="D113" s="126">
        <f t="shared" si="270"/>
        <v>1.0238907849829348</v>
      </c>
      <c r="E113" s="72">
        <f t="shared" si="271"/>
        <v>3.0722449407570518E-2</v>
      </c>
      <c r="F113" s="64">
        <f t="shared" si="272"/>
        <v>16.621843628988138</v>
      </c>
      <c r="G113" s="73">
        <v>4.0769895301543437</v>
      </c>
      <c r="H113" s="73">
        <v>9.3298917934679884E-2</v>
      </c>
      <c r="I113" s="126">
        <f t="shared" si="321"/>
        <v>2.2884267238024485</v>
      </c>
      <c r="J113" s="70">
        <v>1130</v>
      </c>
      <c r="K113" s="70">
        <v>203</v>
      </c>
      <c r="L113" s="73">
        <v>0.57705311248725555</v>
      </c>
      <c r="M113" s="70">
        <v>2.6</v>
      </c>
      <c r="N113" s="64">
        <f t="shared" si="273"/>
        <v>2.1224315756999337</v>
      </c>
      <c r="O113" s="76">
        <v>49.891433083300427</v>
      </c>
      <c r="P113" s="73">
        <v>1.0165811290959335</v>
      </c>
      <c r="Q113" s="73">
        <v>15.594157125937624</v>
      </c>
      <c r="R113" s="73">
        <v>9.4551914725621788</v>
      </c>
      <c r="S113" s="73">
        <v>0.16778523489932889</v>
      </c>
      <c r="T113" s="73">
        <v>9.5144097907619418</v>
      </c>
      <c r="U113" s="73">
        <v>12.041058033951835</v>
      </c>
      <c r="V113" s="73">
        <v>2.1910777733912359</v>
      </c>
      <c r="W113" s="73">
        <v>5.9218318199763122E-2</v>
      </c>
      <c r="X113" s="73">
        <v>6.9088037899723648E-2</v>
      </c>
      <c r="Y113" s="73">
        <f t="shared" si="322"/>
        <v>99.999999999999986</v>
      </c>
      <c r="Z113" s="73">
        <v>2.2502960915909989</v>
      </c>
      <c r="AA113" s="73">
        <v>1.3481808430118085</v>
      </c>
      <c r="AB113" s="59">
        <f t="shared" si="274"/>
        <v>5.7560907008434574</v>
      </c>
      <c r="AC113" s="60">
        <f t="shared" si="275"/>
        <v>4.2695241745050101</v>
      </c>
      <c r="AD113" s="57">
        <f t="shared" si="276"/>
        <v>100.57042340278629</v>
      </c>
      <c r="AE113" s="57"/>
      <c r="AF113" s="57">
        <f t="shared" si="277"/>
        <v>48.404333399332273</v>
      </c>
      <c r="AG113" s="57">
        <f t="shared" si="278"/>
        <v>0.98628018598045952</v>
      </c>
      <c r="AH113" s="57">
        <f t="shared" si="279"/>
        <v>15.12934654222453</v>
      </c>
      <c r="AI113" s="57">
        <f t="shared" si="280"/>
        <v>9.1733632831968972</v>
      </c>
      <c r="AJ113" s="57">
        <f t="shared" si="281"/>
        <v>0.162784108365707</v>
      </c>
      <c r="AK113" s="57">
        <f t="shared" si="282"/>
        <v>9.2308164979142049</v>
      </c>
      <c r="AL113" s="57">
        <f t="shared" si="283"/>
        <v>11.682153659186028</v>
      </c>
      <c r="AM113" s="57">
        <f t="shared" si="284"/>
        <v>2.1257689445404089</v>
      </c>
      <c r="AN113" s="57">
        <f t="shared" si="285"/>
        <v>5.7453214717308333E-2</v>
      </c>
      <c r="AO113" s="57">
        <f t="shared" si="286"/>
        <v>6.7028750503526385E-2</v>
      </c>
      <c r="AP113" s="57">
        <f t="shared" si="323"/>
        <v>97.019328585961347</v>
      </c>
      <c r="AQ113" s="57"/>
      <c r="AR113" s="84">
        <f t="shared" si="287"/>
        <v>48.129789814518411</v>
      </c>
      <c r="AS113" s="85">
        <f t="shared" si="288"/>
        <v>0.9806861228279713</v>
      </c>
      <c r="AT113" s="85">
        <f t="shared" si="289"/>
        <v>15.043534699691214</v>
      </c>
      <c r="AU113" s="85">
        <f t="shared" si="290"/>
        <v>9.1213330647494821</v>
      </c>
      <c r="AV113" s="85">
        <f t="shared" si="291"/>
        <v>0.16186081638908273</v>
      </c>
      <c r="AW113" s="85">
        <f t="shared" si="292"/>
        <v>9.1784604117103346</v>
      </c>
      <c r="AX113" s="85">
        <f t="shared" si="293"/>
        <v>11.615893882040051</v>
      </c>
      <c r="AY113" s="85">
        <f t="shared" si="294"/>
        <v>2.1137118375515507</v>
      </c>
      <c r="AZ113" s="85">
        <f t="shared" si="295"/>
        <v>5.7127346960852712E-2</v>
      </c>
      <c r="BA113" s="85">
        <f t="shared" si="296"/>
        <v>6.6648571454328162E-2</v>
      </c>
      <c r="BB113" s="85">
        <f t="shared" si="324"/>
        <v>96.469046567893272</v>
      </c>
      <c r="BC113" s="85">
        <f t="shared" si="297"/>
        <v>5.5528458186868495</v>
      </c>
      <c r="BD113" s="85">
        <f t="shared" si="298"/>
        <v>4.118769264130699</v>
      </c>
      <c r="BE113" s="85">
        <f t="shared" si="299"/>
        <v>100</v>
      </c>
      <c r="BF113" s="84">
        <f t="shared" si="300"/>
        <v>49.608454847091949</v>
      </c>
      <c r="BG113" s="85">
        <f t="shared" si="301"/>
        <v>1.0108152026212602</v>
      </c>
      <c r="BH113" s="85">
        <f t="shared" si="302"/>
        <v>15.50570893341351</v>
      </c>
      <c r="BI113" s="85">
        <f t="shared" si="303"/>
        <v>5.7234428434194964</v>
      </c>
      <c r="BJ113" s="85">
        <f t="shared" si="304"/>
        <v>4.2453079444694106</v>
      </c>
      <c r="BK113" s="85">
        <f t="shared" si="305"/>
        <v>0.16683357713166438</v>
      </c>
      <c r="BL113" s="85">
        <f t="shared" si="306"/>
        <v>9.4604451973484931</v>
      </c>
      <c r="BM113" s="85">
        <f t="shared" si="307"/>
        <v>11.972762594154736</v>
      </c>
      <c r="BN113" s="85">
        <f t="shared" si="308"/>
        <v>2.1786502425429113</v>
      </c>
      <c r="BO113" s="85">
        <f t="shared" si="309"/>
        <v>5.8882438987646238E-2</v>
      </c>
      <c r="BP113" s="85">
        <f t="shared" si="310"/>
        <v>6.8696178818920609E-2</v>
      </c>
      <c r="BQ113" s="85">
        <f t="shared" si="325"/>
        <v>100.00000000000001</v>
      </c>
      <c r="BR113" s="85"/>
      <c r="BS113" s="82">
        <f>AR113/Weights!$B$5*2+AS113/Weights!$B$7*2+AT113/Weights!$B$8*3+'Data and calc.'!BC113/Weights!$B$20*3+'Data and calc.'!BD113/Weights!$B$10+'Data and calc.'!AV113/Weights!$B$11+'Data and calc.'!AW113/Weights!$B$13+'Data and calc.'!AX113/Weights!$B$14+'Data and calc.'!AY113/Weights!$B$15+AZ113/Weights!$B$16+B113/Weights!$B$19+'Data and calc.'!BA113/Weights!$B$6*5</f>
        <v>2.8706155706237437</v>
      </c>
      <c r="BT113" s="84">
        <f>AR113/Weights!$B$5*8/'Data and calc.'!$BS113</f>
        <v>2.2324272065900441</v>
      </c>
      <c r="BU113" s="85">
        <f>AS113/Weights!$B$7*8/'Data and calc.'!$BS113</f>
        <v>3.4220668141374845E-2</v>
      </c>
      <c r="BV113" s="85">
        <f>AT113/Weights!$B$8*8/'Data and calc.'!$BS113*2</f>
        <v>0.82236512385712413</v>
      </c>
      <c r="BW113" s="85">
        <f>BC113/Weights!$B$20*8/'Data and calc.'!$BS113*2</f>
        <v>0.19381661279106061</v>
      </c>
      <c r="BX113" s="85">
        <f>BD113/Weights!$B$10*8/'Data and calc.'!$BS113</f>
        <v>0.15976877664851699</v>
      </c>
      <c r="BY113" s="85">
        <f>AV113/Weights!$B$11*8/'Data and calc.'!$BS113</f>
        <v>6.3589233520957847E-3</v>
      </c>
      <c r="BZ113" s="85">
        <f>AW113/Weights!$B$13*8/'Data and calc.'!$BS113</f>
        <v>0.63465344192653061</v>
      </c>
      <c r="CA113" s="85">
        <f>AX113/Weights!$B$14*8/'Data and calc.'!$BS113</f>
        <v>0.57727508631167868</v>
      </c>
      <c r="CB113" s="85">
        <f>AY113/Weights!$B$15*8/'Data and calc.'!$BS113*2</f>
        <v>0.19008567731070505</v>
      </c>
      <c r="CC113" s="85">
        <f>AZ113/Weights!$B$16*8/'Data and calc.'!$BS113*2</f>
        <v>3.3803244384357106E-3</v>
      </c>
      <c r="CD113" s="85">
        <f>BA113/Weights!$B$6*8/'Data and calc.'!$BS113*2</f>
        <v>2.6171090046847485E-3</v>
      </c>
      <c r="CE113" s="85">
        <f>B113/Weights!$B$19*8/'Data and calc.'!$BS113*2</f>
        <v>0.92219928787955929</v>
      </c>
      <c r="CF113" s="85">
        <f t="shared" si="326"/>
        <v>13.131318445518415</v>
      </c>
      <c r="CG113" s="85">
        <f t="shared" si="327"/>
        <v>0.87384418141519871</v>
      </c>
      <c r="CH113" s="85"/>
      <c r="CI113" s="85">
        <f>AR113/Weights!$B$5*2+AS113/Weights!$B$7*2+AT113/Weights!$B$8*3+'Data and calc.'!BC113/Weights!$B$20*3+'Data and calc.'!BD113/Weights!$B$10+'Data and calc.'!AV113/Weights!$B$11+'Data and calc.'!AW113/Weights!$B$13+'Data and calc.'!AX113/Weights!$B$14+'Data and calc.'!AY113/Weights!$B$15+AZ113/Weights!$B$16+'Data and calc.'!BA113/Weights!$B$6*5</f>
        <v>2.7051605934359193</v>
      </c>
      <c r="CJ113" s="84">
        <f>AR113/Weights!$B$5*8/'Data and calc.'!$CI113</f>
        <v>2.3689685244830012</v>
      </c>
      <c r="CK113" s="85">
        <f>AS113/Weights!$B$7*8/'Data and calc.'!$CI113</f>
        <v>3.631369725041262E-2</v>
      </c>
      <c r="CL113" s="85">
        <f>AT113/Weights!$B$8*8/'Data and calc.'!$CI113*2</f>
        <v>0.87266321083133325</v>
      </c>
      <c r="CM113" s="85">
        <f>BC113/Weights!$B$20*8/'Data and calc.'!$CI113*2</f>
        <v>0.20567096381398295</v>
      </c>
      <c r="CN113" s="85">
        <f>BD113/Weights!$B$10*8/'Data and calc.'!$CI113</f>
        <v>0.16954066943737786</v>
      </c>
      <c r="CO113" s="85">
        <f>AV113/Weights!$B$11*8/'Data and calc.'!$CI113</f>
        <v>6.7478523941323625E-3</v>
      </c>
      <c r="CP113" s="85">
        <f>AW113/Weights!$B$13*8/'Data and calc.'!$CI113</f>
        <v>0.67347057204846383</v>
      </c>
      <c r="CQ113" s="85">
        <f>AX113/Weights!$B$14*8/'Data and calc.'!$CI113</f>
        <v>0.6125828001932726</v>
      </c>
      <c r="CR113" s="85">
        <f>AY113/Weights!$B$15*8/'Data and calc.'!$CI113*2</f>
        <v>0.20171183417528821</v>
      </c>
      <c r="CS113" s="85">
        <f>AZ113/Weights!$B$16*8/'Data and calc.'!$CI113*2</f>
        <v>3.5870742721446401E-3</v>
      </c>
      <c r="CT113" s="85">
        <f>BA113/Weights!$B$6*8/'Data and calc.'!$CI113*2</f>
        <v>2.7771785072935305E-3</v>
      </c>
      <c r="CU113" s="85">
        <f t="shared" si="328"/>
        <v>7.9999999999999991</v>
      </c>
      <c r="CV113" s="85">
        <f t="shared" si="329"/>
        <v>13.934465585514921</v>
      </c>
      <c r="CW113" s="85">
        <f t="shared" si="330"/>
        <v>0.59292820433163407</v>
      </c>
      <c r="CX113" s="113"/>
      <c r="CY113" s="90">
        <f t="shared" si="311"/>
        <v>3.1432879854628899E-2</v>
      </c>
      <c r="CZ113" s="91">
        <f t="shared" si="331"/>
        <v>3.047496397347647</v>
      </c>
      <c r="DA113" s="85">
        <f t="shared" si="312"/>
        <v>6.6824983308989339E-2</v>
      </c>
      <c r="DB113" s="85">
        <f t="shared" si="318"/>
        <v>6.6824983308989339E-2</v>
      </c>
      <c r="DC113" s="85"/>
      <c r="DD113" s="117"/>
      <c r="DE113" s="97"/>
      <c r="DF113" s="91">
        <f t="shared" si="313"/>
        <v>3.0603607178673036</v>
      </c>
      <c r="DG113" s="85">
        <f t="shared" si="314"/>
        <v>7.9689303828645919E-2</v>
      </c>
      <c r="DH113" s="85">
        <f t="shared" si="319"/>
        <v>7.9689303828645919E-2</v>
      </c>
      <c r="DI113" s="85">
        <f t="shared" si="320"/>
        <v>6.350385144694241E-3</v>
      </c>
      <c r="DJ113" s="85"/>
      <c r="DK113" s="117"/>
      <c r="DL113" s="99">
        <f>'Eq. 3 coef.'!$B$15+'Eq. 3 coef.'!$B$16*'Data and calc.'!G113^2+'Eq. 3 coef.'!$B$17*'Data and calc.'!G113+'Eq. 3 coef.'!$B$18*'Data and calc.'!BF113+'Eq. 3 coef.'!$B$19*'Data and calc.'!BG113+'Eq. 3 coef.'!$B$20*'Data and calc.'!BH113+'Eq. 3 coef.'!$B$21*'Data and calc.'!BI113+'Eq. 3 coef.'!$B$22*'Data and calc.'!BJ113+'Eq. 3 coef.'!$B$23*'Data and calc.'!BK113+'Eq. 3 coef.'!$B$24*'Data and calc.'!BL113+'Eq. 3 coef.'!$B$25*'Data and calc.'!BM113+'Eq. 3 coef.'!$B$26*'Data and calc.'!BN113+'Eq. 3 coef.'!$B$27*'Data and calc.'!BO113+'Eq. 3 coef.'!$B$28*'Data and calc.'!BP113</f>
        <v>2.9121127586607827</v>
      </c>
      <c r="DM113" s="85">
        <f t="shared" si="315"/>
        <v>-6.8558655377874977E-2</v>
      </c>
      <c r="DN113" s="85">
        <f t="shared" si="332"/>
        <v>6.8558655377874977E-2</v>
      </c>
      <c r="DO113" s="85"/>
      <c r="DP113" s="117"/>
      <c r="DQ113" s="99">
        <f>'Eq. 4 coef.'!$B$15+'Eq. 4 coef.'!$B$16*'Data and calc.'!G113^2+'Eq. 4 coef.'!$B$17*'Data and calc.'!G113+'Eq. 4 coef.'!$B$18*'Data and calc.'!O113+'Eq. 4 coef.'!$B$19*'Data and calc.'!P113+'Eq. 4 coef.'!$B$20*'Data and calc.'!Q113+'Eq. 4 coef.'!$B$21*'Data and calc.'!R113+'Eq. 4 coef.'!$B$22*'Data and calc.'!S113+'Eq. 4 coef.'!$B$23*'Data and calc.'!T113+'Eq. 4 coef.'!$B$24*'Data and calc.'!U113+'Eq. 4 coef.'!$B$25*'Data and calc.'!V113+'Eq. 4 coef.'!$B$26*'Data and calc.'!W113+'Eq. 4 coef.'!$B$27*'Data and calc.'!X113</f>
        <v>2.9485128685096242</v>
      </c>
      <c r="DR113" s="85">
        <f t="shared" si="316"/>
        <v>-3.2158545529033411E-2</v>
      </c>
      <c r="DS113" s="94">
        <f t="shared" si="317"/>
        <v>3.2158545529033411E-2</v>
      </c>
      <c r="DT113" s="85"/>
    </row>
    <row r="114" spans="1:124" ht="15" x14ac:dyDescent="0.2">
      <c r="A114" s="67" t="s">
        <v>633</v>
      </c>
      <c r="B114" s="73">
        <v>0.35</v>
      </c>
      <c r="C114" s="73">
        <v>0.1</v>
      </c>
      <c r="D114" s="126">
        <f t="shared" si="270"/>
        <v>28.571428571428573</v>
      </c>
      <c r="E114" s="72">
        <f t="shared" si="271"/>
        <v>3.5122930255895631E-3</v>
      </c>
      <c r="F114" s="64">
        <f t="shared" si="272"/>
        <v>1.3416813072746367</v>
      </c>
      <c r="G114" s="73">
        <v>1.1583096767594738</v>
      </c>
      <c r="H114" s="73">
        <v>0.10999416693589924</v>
      </c>
      <c r="I114" s="126">
        <f t="shared" si="321"/>
        <v>9.4960932419750321</v>
      </c>
      <c r="J114" s="70">
        <v>1250</v>
      </c>
      <c r="K114" s="70">
        <v>500</v>
      </c>
      <c r="L114" s="73">
        <v>8.7875606107277199E-3</v>
      </c>
      <c r="M114" s="70">
        <v>2.6</v>
      </c>
      <c r="N114" s="64">
        <f t="shared" si="273"/>
        <v>-1.5122633329766573</v>
      </c>
      <c r="O114" s="76">
        <v>50.248756218905463</v>
      </c>
      <c r="P114" s="73">
        <v>0.91542288557213924</v>
      </c>
      <c r="Q114" s="73">
        <v>18.308457711442781</v>
      </c>
      <c r="R114" s="73">
        <v>9.3830845771144258</v>
      </c>
      <c r="S114" s="73">
        <v>0.17910447761194026</v>
      </c>
      <c r="T114" s="73">
        <v>7.0149253731343277</v>
      </c>
      <c r="U114" s="73">
        <v>11.383084577114426</v>
      </c>
      <c r="V114" s="73">
        <v>2.3383084577114421</v>
      </c>
      <c r="W114" s="73">
        <v>0.22885572139303481</v>
      </c>
      <c r="X114" s="73">
        <v>0</v>
      </c>
      <c r="Y114" s="73">
        <f t="shared" si="322"/>
        <v>100</v>
      </c>
      <c r="Z114" s="73">
        <v>2.567164179104477</v>
      </c>
      <c r="AA114" s="73">
        <v>0.14521980677675114</v>
      </c>
      <c r="AB114" s="59">
        <f t="shared" si="274"/>
        <v>1.2049656891256424</v>
      </c>
      <c r="AC114" s="60">
        <f t="shared" si="275"/>
        <v>8.2975299022264597</v>
      </c>
      <c r="AD114" s="57">
        <f t="shared" si="276"/>
        <v>100.11941101423767</v>
      </c>
      <c r="AE114" s="57"/>
      <c r="AF114" s="57">
        <f t="shared" si="277"/>
        <v>50.072885572139292</v>
      </c>
      <c r="AG114" s="57">
        <f t="shared" si="278"/>
        <v>0.91221890547263684</v>
      </c>
      <c r="AH114" s="57">
        <f t="shared" si="279"/>
        <v>18.244378109452732</v>
      </c>
      <c r="AI114" s="57">
        <f t="shared" si="280"/>
        <v>9.3502437810945249</v>
      </c>
      <c r="AJ114" s="57">
        <f t="shared" si="281"/>
        <v>0.17847761194029846</v>
      </c>
      <c r="AK114" s="57">
        <f t="shared" si="282"/>
        <v>6.9903731343283582</v>
      </c>
      <c r="AL114" s="57">
        <f t="shared" si="283"/>
        <v>11.343243781094525</v>
      </c>
      <c r="AM114" s="57">
        <f t="shared" si="284"/>
        <v>2.3301243781094523</v>
      </c>
      <c r="AN114" s="57">
        <f t="shared" si="285"/>
        <v>0.22805472636815921</v>
      </c>
      <c r="AO114" s="57">
        <f t="shared" si="286"/>
        <v>0</v>
      </c>
      <c r="AP114" s="57">
        <f t="shared" si="323"/>
        <v>99.649999999999963</v>
      </c>
      <c r="AQ114" s="57"/>
      <c r="AR114" s="84">
        <f t="shared" si="287"/>
        <v>50.013164345342169</v>
      </c>
      <c r="AS114" s="85">
        <f t="shared" si="288"/>
        <v>0.91113091480623376</v>
      </c>
      <c r="AT114" s="85">
        <f t="shared" si="289"/>
        <v>18.222618296124672</v>
      </c>
      <c r="AU114" s="85">
        <f t="shared" si="290"/>
        <v>9.3390918767638933</v>
      </c>
      <c r="AV114" s="85">
        <f t="shared" si="291"/>
        <v>0.1782647442012196</v>
      </c>
      <c r="AW114" s="85">
        <f t="shared" si="292"/>
        <v>6.9820358145477694</v>
      </c>
      <c r="AX114" s="85">
        <f t="shared" si="293"/>
        <v>11.329714853677512</v>
      </c>
      <c r="AY114" s="85">
        <f t="shared" si="294"/>
        <v>2.3273452715159224</v>
      </c>
      <c r="AZ114" s="85">
        <f t="shared" si="295"/>
        <v>0.22778272870155844</v>
      </c>
      <c r="BA114" s="85">
        <f t="shared" si="296"/>
        <v>0</v>
      </c>
      <c r="BB114" s="85">
        <f t="shared" si="324"/>
        <v>99.531148845680946</v>
      </c>
      <c r="BC114" s="85">
        <f t="shared" si="297"/>
        <v>1.1993161935830288</v>
      </c>
      <c r="BD114" s="85">
        <f t="shared" si="298"/>
        <v>8.2586268374999054</v>
      </c>
      <c r="BE114" s="85">
        <f t="shared" si="299"/>
        <v>99.999999999999986</v>
      </c>
      <c r="BF114" s="84">
        <f t="shared" si="300"/>
        <v>50.188825233659976</v>
      </c>
      <c r="BG114" s="85">
        <f t="shared" si="301"/>
        <v>0.91433107356370669</v>
      </c>
      <c r="BH114" s="85">
        <f t="shared" si="302"/>
        <v>18.286621471274131</v>
      </c>
      <c r="BI114" s="85">
        <f t="shared" si="303"/>
        <v>1.203528543485227</v>
      </c>
      <c r="BJ114" s="85">
        <f t="shared" si="304"/>
        <v>8.287633554942202</v>
      </c>
      <c r="BK114" s="85">
        <f t="shared" si="305"/>
        <v>0.17889086221898606</v>
      </c>
      <c r="BL114" s="85">
        <f t="shared" si="306"/>
        <v>7.0065587702436209</v>
      </c>
      <c r="BM114" s="85">
        <f t="shared" si="307"/>
        <v>11.369508132140002</v>
      </c>
      <c r="BN114" s="85">
        <f t="shared" si="308"/>
        <v>2.3355195900812062</v>
      </c>
      <c r="BO114" s="85">
        <f t="shared" si="309"/>
        <v>0.22858276839092667</v>
      </c>
      <c r="BP114" s="85">
        <f t="shared" si="310"/>
        <v>0</v>
      </c>
      <c r="BQ114" s="85">
        <f t="shared" si="325"/>
        <v>99.999999999999986</v>
      </c>
      <c r="BR114" s="85"/>
      <c r="BS114" s="82">
        <f>AR114/Weights!$B$5*2+AS114/Weights!$B$7*2+AT114/Weights!$B$8*3+'Data and calc.'!BC114/Weights!$B$20*3+'Data and calc.'!BD114/Weights!$B$10+'Data and calc.'!AV114/Weights!$B$11+'Data and calc.'!AW114/Weights!$B$13+'Data and calc.'!AX114/Weights!$B$14+'Data and calc.'!AY114/Weights!$B$15+AZ114/Weights!$B$16+B114/Weights!$B$19+'Data and calc.'!BA114/Weights!$B$6*5</f>
        <v>2.7984550816647396</v>
      </c>
      <c r="BT114" s="84">
        <f>AR114/Weights!$B$5*8/'Data and calc.'!$BS114</f>
        <v>2.3796022488152797</v>
      </c>
      <c r="BU114" s="85">
        <f>AS114/Weights!$B$7*8/'Data and calc.'!$BS114</f>
        <v>3.2613389193849526E-2</v>
      </c>
      <c r="BV114" s="85">
        <f>AT114/Weights!$B$8*8/'Data and calc.'!$BS114*2</f>
        <v>1.021838509583233</v>
      </c>
      <c r="BW114" s="85">
        <f>BC114/Weights!$B$20*8/'Data and calc.'!$BS114*2</f>
        <v>4.2940369578776554E-2</v>
      </c>
      <c r="BX114" s="85">
        <f>BD114/Weights!$B$10*8/'Data and calc.'!$BS114</f>
        <v>0.32861621229103416</v>
      </c>
      <c r="BY114" s="85">
        <f>AV114/Weights!$B$11*8/'Data and calc.'!$BS114</f>
        <v>7.1839618900550019E-3</v>
      </c>
      <c r="BZ114" s="85">
        <f>AW114/Weights!$B$13*8/'Data and calc.'!$BS114</f>
        <v>0.49522843002328726</v>
      </c>
      <c r="CA114" s="85">
        <f>AX114/Weights!$B$14*8/'Data and calc.'!$BS114</f>
        <v>0.57757163232736841</v>
      </c>
      <c r="CB114" s="85">
        <f>AY114/Weights!$B$15*8/'Data and calc.'!$BS114*2</f>
        <v>0.21469460351275246</v>
      </c>
      <c r="CC114" s="85">
        <f>AZ114/Weights!$B$16*8/'Data and calc.'!$BS114*2</f>
        <v>1.3825849232696603E-2</v>
      </c>
      <c r="CD114" s="85">
        <f>BA114/Weights!$B$6*8/'Data and calc.'!$BS114*2</f>
        <v>0</v>
      </c>
      <c r="CE114" s="85">
        <f>B114/Weights!$B$19*8/'Data and calc.'!$BS114*2</f>
        <v>0.11107988466851652</v>
      </c>
      <c r="CF114" s="85">
        <f t="shared" si="326"/>
        <v>13.907978068684555</v>
      </c>
      <c r="CG114" s="85">
        <f t="shared" si="327"/>
        <v>0.60167536100042551</v>
      </c>
      <c r="CH114" s="85"/>
      <c r="CI114" s="85">
        <f>AR114/Weights!$B$5*2+AS114/Weights!$B$7*2+AT114/Weights!$B$8*3+'Data and calc.'!BC114/Weights!$B$20*3+'Data and calc.'!BD114/Weights!$B$10+'Data and calc.'!AV114/Weights!$B$11+'Data and calc.'!AW114/Weights!$B$13+'Data and calc.'!AX114/Weights!$B$14+'Data and calc.'!AY114/Weights!$B$15+AZ114/Weights!$B$16+'Data and calc.'!BA114/Weights!$B$6*5</f>
        <v>2.7790268274321557</v>
      </c>
      <c r="CJ114" s="84">
        <f>AR114/Weights!$B$5*8/'Data and calc.'!$CI114</f>
        <v>2.3962381146536567</v>
      </c>
      <c r="CK114" s="85">
        <f>AS114/Weights!$B$7*8/'Data and calc.'!$CI114</f>
        <v>3.2841390309344257E-2</v>
      </c>
      <c r="CL114" s="85">
        <f>AT114/Weights!$B$8*8/'Data and calc.'!$CI114*2</f>
        <v>1.028982211167133</v>
      </c>
      <c r="CM114" s="85">
        <f>BC114/Weights!$B$20*8/'Data and calc.'!$CI114*2</f>
        <v>4.3240566902811903E-2</v>
      </c>
      <c r="CN114" s="85">
        <f>BD114/Weights!$B$10*8/'Data and calc.'!$CI114</f>
        <v>0.33091357741695421</v>
      </c>
      <c r="CO114" s="85">
        <f>AV114/Weights!$B$11*8/'Data and calc.'!$CI114</f>
        <v>7.234185168441324E-3</v>
      </c>
      <c r="CP114" s="85">
        <f>AW114/Weights!$B$13*8/'Data and calc.'!$CI114</f>
        <v>0.49869058582067699</v>
      </c>
      <c r="CQ114" s="85">
        <f>AX114/Weights!$B$14*8/'Data and calc.'!$CI114</f>
        <v>0.58160945175380163</v>
      </c>
      <c r="CR114" s="85">
        <f>AY114/Weights!$B$15*8/'Data and calc.'!$CI114*2</f>
        <v>0.21619553948725825</v>
      </c>
      <c r="CS114" s="85">
        <f>AZ114/Weights!$B$16*8/'Data and calc.'!$CI114*2</f>
        <v>1.3922506131155695E-2</v>
      </c>
      <c r="CT114" s="85">
        <f>BA114/Weights!$B$6*8/'Data and calc.'!$CI114*2</f>
        <v>0</v>
      </c>
      <c r="CU114" s="85">
        <f t="shared" si="328"/>
        <v>7.9999999999999991</v>
      </c>
      <c r="CV114" s="85">
        <f t="shared" si="329"/>
        <v>14.005209132131782</v>
      </c>
      <c r="CW114" s="85">
        <f t="shared" si="330"/>
        <v>0.56972826297655843</v>
      </c>
      <c r="CX114" s="113"/>
      <c r="CY114" s="90">
        <f t="shared" si="311"/>
        <v>6.3030463168990691E-3</v>
      </c>
      <c r="CZ114" s="91">
        <f t="shared" si="331"/>
        <v>0.62635667654673388</v>
      </c>
      <c r="DA114" s="85">
        <f t="shared" si="312"/>
        <v>0.2763566765467339</v>
      </c>
      <c r="DB114" s="85">
        <f t="shared" si="318"/>
        <v>0.2763566765467339</v>
      </c>
      <c r="DC114" s="85"/>
      <c r="DD114" s="117"/>
      <c r="DE114" s="97"/>
      <c r="DF114" s="91">
        <f t="shared" si="313"/>
        <v>0.61650899962015759</v>
      </c>
      <c r="DG114" s="85">
        <f t="shared" si="314"/>
        <v>0.26650899962015762</v>
      </c>
      <c r="DH114" s="85">
        <f t="shared" si="319"/>
        <v>0.26650899962015762</v>
      </c>
      <c r="DI114" s="85">
        <f t="shared" si="320"/>
        <v>7.102704687853717E-2</v>
      </c>
      <c r="DJ114" s="85"/>
      <c r="DK114" s="117"/>
      <c r="DL114" s="99">
        <f>'Eq. 3 coef.'!$B$15+'Eq. 3 coef.'!$B$16*'Data and calc.'!G114^2+'Eq. 3 coef.'!$B$17*'Data and calc.'!G114+'Eq. 3 coef.'!$B$18*'Data and calc.'!BF114+'Eq. 3 coef.'!$B$19*'Data and calc.'!BG114+'Eq. 3 coef.'!$B$20*'Data and calc.'!BH114+'Eq. 3 coef.'!$B$21*'Data and calc.'!BI114+'Eq. 3 coef.'!$B$22*'Data and calc.'!BJ114+'Eq. 3 coef.'!$B$23*'Data and calc.'!BK114+'Eq. 3 coef.'!$B$24*'Data and calc.'!BL114+'Eq. 3 coef.'!$B$25*'Data and calc.'!BM114+'Eq. 3 coef.'!$B$26*'Data and calc.'!BN114+'Eq. 3 coef.'!$B$27*'Data and calc.'!BO114+'Eq. 3 coef.'!$B$28*'Data and calc.'!BP114</f>
        <v>0.92321185485570822</v>
      </c>
      <c r="DM114" s="85">
        <f t="shared" si="315"/>
        <v>0.57321185485570825</v>
      </c>
      <c r="DN114" s="85">
        <f t="shared" si="332"/>
        <v>0.57321185485570825</v>
      </c>
      <c r="DO114" s="85"/>
      <c r="DP114" s="117"/>
      <c r="DQ114" s="99">
        <f>'Eq. 4 coef.'!$B$15+'Eq. 4 coef.'!$B$16*'Data and calc.'!G114^2+'Eq. 4 coef.'!$B$17*'Data and calc.'!G114+'Eq. 4 coef.'!$B$18*'Data and calc.'!O114+'Eq. 4 coef.'!$B$19*'Data and calc.'!P114+'Eq. 4 coef.'!$B$20*'Data and calc.'!Q114+'Eq. 4 coef.'!$B$21*'Data and calc.'!R114+'Eq. 4 coef.'!$B$22*'Data and calc.'!S114+'Eq. 4 coef.'!$B$23*'Data and calc.'!T114+'Eq. 4 coef.'!$B$24*'Data and calc.'!U114+'Eq. 4 coef.'!$B$25*'Data and calc.'!V114+'Eq. 4 coef.'!$B$26*'Data and calc.'!W114+'Eq. 4 coef.'!$B$27*'Data and calc.'!X114</f>
        <v>0.89835434523251934</v>
      </c>
      <c r="DR114" s="85">
        <f t="shared" si="316"/>
        <v>0.54835434523251936</v>
      </c>
      <c r="DS114" s="94">
        <f t="shared" si="317"/>
        <v>0.54835434523251936</v>
      </c>
      <c r="DT114" s="85"/>
    </row>
    <row r="115" spans="1:124" ht="15" x14ac:dyDescent="0.2">
      <c r="A115" s="145" t="s">
        <v>488</v>
      </c>
      <c r="B115" s="73">
        <v>5.04</v>
      </c>
      <c r="C115" s="73">
        <v>0.14000000000000001</v>
      </c>
      <c r="D115" s="126">
        <f t="shared" si="270"/>
        <v>2.7777777777777781</v>
      </c>
      <c r="E115" s="72">
        <f t="shared" si="271"/>
        <v>5.3074978938500425E-2</v>
      </c>
      <c r="F115" s="64">
        <f t="shared" si="272"/>
        <v>39.094161587963917</v>
      </c>
      <c r="G115" s="73">
        <v>6.2525324139874652</v>
      </c>
      <c r="H115" s="73">
        <v>0.19401335756289134</v>
      </c>
      <c r="I115" s="126">
        <f t="shared" si="321"/>
        <v>3.1029564457573446</v>
      </c>
      <c r="J115" s="74">
        <v>1250</v>
      </c>
      <c r="K115" s="74">
        <v>200</v>
      </c>
      <c r="L115" s="73">
        <v>1</v>
      </c>
      <c r="M115" s="70">
        <v>1.8</v>
      </c>
      <c r="N115" s="64">
        <f t="shared" si="273"/>
        <v>1.8</v>
      </c>
      <c r="O115" s="76">
        <v>51.726893746811221</v>
      </c>
      <c r="P115" s="73">
        <v>0.97951689189174607</v>
      </c>
      <c r="Q115" s="73">
        <v>15.18555344818143</v>
      </c>
      <c r="R115" s="73">
        <v>9.2773278451854768</v>
      </c>
      <c r="S115" s="73">
        <v>0.11845096402697822</v>
      </c>
      <c r="T115" s="73">
        <v>7.7705317099624862</v>
      </c>
      <c r="U115" s="73">
        <v>12.416257754950074</v>
      </c>
      <c r="V115" s="73">
        <v>2.1358437606082794</v>
      </c>
      <c r="W115" s="73">
        <v>0.26079919948530439</v>
      </c>
      <c r="X115" s="73">
        <v>0.12882467889700017</v>
      </c>
      <c r="Y115" s="73">
        <f t="shared" si="322"/>
        <v>100</v>
      </c>
      <c r="Z115" s="73">
        <v>2.3966429600935837</v>
      </c>
      <c r="AA115" s="73">
        <v>0.81005314229990588</v>
      </c>
      <c r="AB115" s="59">
        <f t="shared" si="274"/>
        <v>4.3445634562968936</v>
      </c>
      <c r="AC115" s="60">
        <f t="shared" si="275"/>
        <v>5.363306713386474</v>
      </c>
      <c r="AD115" s="57">
        <f t="shared" si="276"/>
        <v>100.43054232449789</v>
      </c>
      <c r="AE115" s="57"/>
      <c r="AF115" s="57">
        <f t="shared" si="277"/>
        <v>49.119858301971938</v>
      </c>
      <c r="AG115" s="57">
        <f t="shared" si="278"/>
        <v>0.93014924054040193</v>
      </c>
      <c r="AH115" s="57">
        <f t="shared" si="279"/>
        <v>14.420201554393087</v>
      </c>
      <c r="AI115" s="57">
        <f t="shared" si="280"/>
        <v>8.8097505217881285</v>
      </c>
      <c r="AJ115" s="57">
        <f t="shared" si="281"/>
        <v>0.1124810354400185</v>
      </c>
      <c r="AK115" s="57">
        <f t="shared" si="282"/>
        <v>7.3788969117803767</v>
      </c>
      <c r="AL115" s="57">
        <f t="shared" si="283"/>
        <v>11.790478364100588</v>
      </c>
      <c r="AM115" s="57">
        <f t="shared" si="284"/>
        <v>2.0281972350736219</v>
      </c>
      <c r="AN115" s="57">
        <f t="shared" si="285"/>
        <v>0.24765491983124502</v>
      </c>
      <c r="AO115" s="57">
        <f t="shared" si="286"/>
        <v>0.12233191508059135</v>
      </c>
      <c r="AP115" s="57">
        <f t="shared" si="323"/>
        <v>94.96</v>
      </c>
      <c r="AQ115" s="57"/>
      <c r="AR115" s="84">
        <f t="shared" si="287"/>
        <v>48.909283137456676</v>
      </c>
      <c r="AS115" s="85">
        <f t="shared" si="288"/>
        <v>0.92616172233246208</v>
      </c>
      <c r="AT115" s="85">
        <f t="shared" si="289"/>
        <v>14.358382640014465</v>
      </c>
      <c r="AU115" s="85">
        <f t="shared" si="290"/>
        <v>8.7719834204650873</v>
      </c>
      <c r="AV115" s="85">
        <f t="shared" si="291"/>
        <v>0.11199883306074825</v>
      </c>
      <c r="AW115" s="85">
        <f t="shared" si="292"/>
        <v>7.3472638312941294</v>
      </c>
      <c r="AX115" s="85">
        <f t="shared" si="293"/>
        <v>11.739932983737909</v>
      </c>
      <c r="AY115" s="85">
        <f t="shared" si="294"/>
        <v>2.0195024224009259</v>
      </c>
      <c r="AZ115" s="85">
        <f t="shared" si="295"/>
        <v>0.24659323159986052</v>
      </c>
      <c r="BA115" s="85">
        <f t="shared" si="296"/>
        <v>0.12180748231482078</v>
      </c>
      <c r="BB115" s="85">
        <f t="shared" si="324"/>
        <v>94.552909704677106</v>
      </c>
      <c r="BC115" s="85">
        <f t="shared" si="297"/>
        <v>4.1079111618947994</v>
      </c>
      <c r="BD115" s="85">
        <f t="shared" si="298"/>
        <v>5.0711625538931964</v>
      </c>
      <c r="BE115" s="85">
        <f t="shared" si="299"/>
        <v>100.00000000000003</v>
      </c>
      <c r="BF115" s="84">
        <f t="shared" si="300"/>
        <v>51.505142309874351</v>
      </c>
      <c r="BG115" s="85">
        <f t="shared" si="301"/>
        <v>0.97531773623890283</v>
      </c>
      <c r="BH115" s="85">
        <f t="shared" si="302"/>
        <v>15.120453496224163</v>
      </c>
      <c r="BI115" s="85">
        <f t="shared" si="303"/>
        <v>4.3259384602935969</v>
      </c>
      <c r="BJ115" s="85">
        <f t="shared" si="304"/>
        <v>5.3403143996347904</v>
      </c>
      <c r="BK115" s="85">
        <f t="shared" si="305"/>
        <v>0.11794316876658409</v>
      </c>
      <c r="BL115" s="85">
        <f t="shared" si="306"/>
        <v>7.7372197043956721</v>
      </c>
      <c r="BM115" s="85">
        <f t="shared" si="307"/>
        <v>12.363029679589205</v>
      </c>
      <c r="BN115" s="85">
        <f t="shared" si="308"/>
        <v>2.1266874709361057</v>
      </c>
      <c r="BO115" s="85">
        <f t="shared" si="309"/>
        <v>0.25968116217339987</v>
      </c>
      <c r="BP115" s="85">
        <f t="shared" si="310"/>
        <v>0.12827241187323166</v>
      </c>
      <c r="BQ115" s="85">
        <f t="shared" si="325"/>
        <v>99.999999999999986</v>
      </c>
      <c r="BR115" s="85"/>
      <c r="BS115" s="82">
        <f>AR115/Weights!$B$5*2+AS115/Weights!$B$7*2+AT115/Weights!$B$8*3+'Data and calc.'!BC115/Weights!$B$20*3+'Data and calc.'!BD115/Weights!$B$10+'Data and calc.'!AV115/Weights!$B$11+'Data and calc.'!AW115/Weights!$B$13+'Data and calc.'!AX115/Weights!$B$14+'Data and calc.'!AY115/Weights!$B$15+AZ115/Weights!$B$16+B115/Weights!$B$19+'Data and calc.'!BA115/Weights!$B$6*5</f>
        <v>2.9339694117632118</v>
      </c>
      <c r="BT115" s="84">
        <f>AR115/Weights!$B$5*8/'Data and calc.'!$BS115</f>
        <v>2.2195968171545797</v>
      </c>
      <c r="BU115" s="85">
        <f>AS115/Weights!$B$7*8/'Data and calc.'!$BS115</f>
        <v>3.1620209071290324E-2</v>
      </c>
      <c r="BV115" s="85">
        <f>AT115/Weights!$B$8*8/'Data and calc.'!$BS115*2</f>
        <v>0.76796206702993497</v>
      </c>
      <c r="BW115" s="85">
        <f>BC115/Weights!$B$20*8/'Data and calc.'!$BS115*2</f>
        <v>0.14028650053541111</v>
      </c>
      <c r="BX115" s="85">
        <f>BD115/Weights!$B$10*8/'Data and calc.'!$BS115</f>
        <v>0.19246485326015619</v>
      </c>
      <c r="BY115" s="85">
        <f>AV115/Weights!$B$11*8/'Data and calc.'!$BS115</f>
        <v>4.3050164548237247E-3</v>
      </c>
      <c r="BZ115" s="85">
        <f>AW115/Weights!$B$13*8/'Data and calc.'!$BS115</f>
        <v>0.49706351906427987</v>
      </c>
      <c r="CA115" s="85">
        <f>AX115/Weights!$B$14*8/'Data and calc.'!$BS115</f>
        <v>0.57084112223111494</v>
      </c>
      <c r="CB115" s="85">
        <f>AY115/Weights!$B$15*8/'Data and calc.'!$BS115*2</f>
        <v>0.17769182501013692</v>
      </c>
      <c r="CC115" s="85">
        <f>AZ115/Weights!$B$16*8/'Data and calc.'!$BS115*2</f>
        <v>1.4276276021955699E-2</v>
      </c>
      <c r="CD115" s="85">
        <f>BA115/Weights!$B$6*8/'Data and calc.'!$BS115*2</f>
        <v>4.6797686923306494E-3</v>
      </c>
      <c r="CE115" s="85">
        <f>B115/Weights!$B$19*8/'Data and calc.'!$BS115*2</f>
        <v>1.5256702258859829</v>
      </c>
      <c r="CF115" s="85">
        <f t="shared" si="326"/>
        <v>12.637862375164865</v>
      </c>
      <c r="CG115" s="85">
        <f t="shared" si="327"/>
        <v>1.0641475670576055</v>
      </c>
      <c r="CH115" s="85"/>
      <c r="CI115" s="85">
        <f>AR115/Weights!$B$5*2+AS115/Weights!$B$7*2+AT115/Weights!$B$8*3+'Data and calc.'!BC115/Weights!$B$20*3+'Data and calc.'!BD115/Weights!$B$10+'Data and calc.'!AV115/Weights!$B$11+'Data and calc.'!AW115/Weights!$B$13+'Data and calc.'!AX115/Weights!$B$14+'Data and calc.'!AY115/Weights!$B$15+AZ115/Weights!$B$16+'Data and calc.'!BA115/Weights!$B$6*5</f>
        <v>2.6542025508140026</v>
      </c>
      <c r="CJ115" s="84">
        <f>AR115/Weights!$B$5*8/'Data and calc.'!$CI115</f>
        <v>2.4535539557752744</v>
      </c>
      <c r="CK115" s="85">
        <f>AS115/Weights!$B$7*8/'Data and calc.'!$CI115</f>
        <v>3.4953144845811218E-2</v>
      </c>
      <c r="CL115" s="85">
        <f>AT115/Weights!$B$8*8/'Data and calc.'!$CI115*2</f>
        <v>0.84890929419431993</v>
      </c>
      <c r="CM115" s="85">
        <f>BC115/Weights!$B$20*8/'Data and calc.'!$CI115*2</f>
        <v>0.15507343300833221</v>
      </c>
      <c r="CN115" s="85">
        <f>BD115/Weights!$B$10*8/'Data and calc.'!$CI115</f>
        <v>0.2127516576048851</v>
      </c>
      <c r="CO115" s="85">
        <f>AV115/Weights!$B$11*8/'Data and calc.'!$CI115</f>
        <v>4.7587877540530756E-3</v>
      </c>
      <c r="CP115" s="85">
        <f>AW115/Weights!$B$13*8/'Data and calc.'!$CI115</f>
        <v>0.54945661934908396</v>
      </c>
      <c r="CQ115" s="85">
        <f>AX115/Weights!$B$14*8/'Data and calc.'!$CI115</f>
        <v>0.6310107685975328</v>
      </c>
      <c r="CR115" s="85">
        <f>AY115/Weights!$B$15*8/'Data and calc.'!$CI115*2</f>
        <v>0.19642147474398114</v>
      </c>
      <c r="CS115" s="85">
        <f>AZ115/Weights!$B$16*8/'Data and calc.'!$CI115*2</f>
        <v>1.5781070344258682E-2</v>
      </c>
      <c r="CT115" s="85">
        <f>BA115/Weights!$B$6*8/'Data and calc.'!$CI115*2</f>
        <v>5.1730408416698946E-3</v>
      </c>
      <c r="CU115" s="85">
        <f t="shared" si="328"/>
        <v>8</v>
      </c>
      <c r="CV115" s="85">
        <f t="shared" si="329"/>
        <v>13.96995931129495</v>
      </c>
      <c r="CW115" s="85">
        <f t="shared" si="330"/>
        <v>0.58125886939805971</v>
      </c>
      <c r="CX115" s="113"/>
      <c r="CY115" s="90">
        <f t="shared" si="311"/>
        <v>5.0164304084432072E-2</v>
      </c>
      <c r="CZ115" s="91">
        <f t="shared" si="331"/>
        <v>4.7768052950692281</v>
      </c>
      <c r="DA115" s="85">
        <f t="shared" si="312"/>
        <v>-0.26319470493077191</v>
      </c>
      <c r="DB115" s="85">
        <f t="shared" si="318"/>
        <v>0.26319470493077191</v>
      </c>
      <c r="DC115" s="85"/>
      <c r="DD115" s="117"/>
      <c r="DE115" s="97"/>
      <c r="DF115" s="91">
        <f t="shared" si="313"/>
        <v>4.7865513455060293</v>
      </c>
      <c r="DG115" s="85">
        <f t="shared" si="314"/>
        <v>-0.25344865449397069</v>
      </c>
      <c r="DH115" s="85">
        <f t="shared" si="319"/>
        <v>0.25344865449397069</v>
      </c>
      <c r="DI115" s="85">
        <f t="shared" si="320"/>
        <v>6.4236220464804136E-2</v>
      </c>
      <c r="DJ115" s="85"/>
      <c r="DK115" s="117"/>
      <c r="DL115" s="99">
        <f>'Eq. 3 coef.'!$B$15+'Eq. 3 coef.'!$B$16*'Data and calc.'!G115^2+'Eq. 3 coef.'!$B$17*'Data and calc.'!G115+'Eq. 3 coef.'!$B$18*'Data and calc.'!BF115+'Eq. 3 coef.'!$B$19*'Data and calc.'!BG115+'Eq. 3 coef.'!$B$20*'Data and calc.'!BH115+'Eq. 3 coef.'!$B$21*'Data and calc.'!BI115+'Eq. 3 coef.'!$B$22*'Data and calc.'!BJ115+'Eq. 3 coef.'!$B$23*'Data and calc.'!BK115+'Eq. 3 coef.'!$B$24*'Data and calc.'!BL115+'Eq. 3 coef.'!$B$25*'Data and calc.'!BM115+'Eq. 3 coef.'!$B$26*'Data and calc.'!BN115+'Eq. 3 coef.'!$B$27*'Data and calc.'!BO115+'Eq. 3 coef.'!$B$28*'Data and calc.'!BP115</f>
        <v>4.6924562256056106</v>
      </c>
      <c r="DM115" s="85">
        <f t="shared" si="315"/>
        <v>-0.34754377439438944</v>
      </c>
      <c r="DN115" s="85">
        <f t="shared" si="332"/>
        <v>0.34754377439438944</v>
      </c>
      <c r="DO115" s="85"/>
      <c r="DP115" s="117"/>
      <c r="DQ115" s="99">
        <f>'Eq. 4 coef.'!$B$15+'Eq. 4 coef.'!$B$16*'Data and calc.'!G115^2+'Eq. 4 coef.'!$B$17*'Data and calc.'!G115+'Eq. 4 coef.'!$B$18*'Data and calc.'!O115+'Eq. 4 coef.'!$B$19*'Data and calc.'!P115+'Eq. 4 coef.'!$B$20*'Data and calc.'!Q115+'Eq. 4 coef.'!$B$21*'Data and calc.'!R115+'Eq. 4 coef.'!$B$22*'Data and calc.'!S115+'Eq. 4 coef.'!$B$23*'Data and calc.'!T115+'Eq. 4 coef.'!$B$24*'Data and calc.'!U115+'Eq. 4 coef.'!$B$25*'Data and calc.'!V115+'Eq. 4 coef.'!$B$26*'Data and calc.'!W115+'Eq. 4 coef.'!$B$27*'Data and calc.'!X115</f>
        <v>4.6837999299723378</v>
      </c>
      <c r="DR115" s="85">
        <f t="shared" si="316"/>
        <v>-0.35620007002766219</v>
      </c>
      <c r="DS115" s="94">
        <f t="shared" si="317"/>
        <v>0.35620007002766219</v>
      </c>
      <c r="DT115" s="85"/>
    </row>
    <row r="116" spans="1:124" ht="15" x14ac:dyDescent="0.2">
      <c r="A116" s="145" t="s">
        <v>492</v>
      </c>
      <c r="B116" s="73">
        <v>5.23</v>
      </c>
      <c r="C116" s="73">
        <v>0.13</v>
      </c>
      <c r="D116" s="126">
        <f t="shared" si="270"/>
        <v>2.4856596558317396</v>
      </c>
      <c r="E116" s="72">
        <f t="shared" si="271"/>
        <v>5.5186240371425561E-2</v>
      </c>
      <c r="F116" s="64">
        <f t="shared" si="272"/>
        <v>53.736186510773159</v>
      </c>
      <c r="G116" s="73">
        <v>7.3304970166267145</v>
      </c>
      <c r="H116" s="73">
        <v>5.6415489507379853E-2</v>
      </c>
      <c r="I116" s="126">
        <f>H116*100/G116</f>
        <v>0.76959978811014718</v>
      </c>
      <c r="J116" s="74">
        <v>1250</v>
      </c>
      <c r="K116" s="74">
        <v>200</v>
      </c>
      <c r="L116" s="73">
        <v>1</v>
      </c>
      <c r="M116" s="70">
        <v>1.5</v>
      </c>
      <c r="N116" s="64">
        <f t="shared" si="273"/>
        <v>1.5</v>
      </c>
      <c r="O116" s="76">
        <v>57.034032805821035</v>
      </c>
      <c r="P116" s="73">
        <v>0.16001316730612072</v>
      </c>
      <c r="Q116" s="73">
        <v>10.550834213870525</v>
      </c>
      <c r="R116" s="73">
        <v>7.3751435688245541</v>
      </c>
      <c r="S116" s="73">
        <v>0.13222426018188235</v>
      </c>
      <c r="T116" s="73">
        <v>15.913234909320609</v>
      </c>
      <c r="U116" s="73">
        <v>6.906469641381408</v>
      </c>
      <c r="V116" s="73">
        <v>1.3362549991362163</v>
      </c>
      <c r="W116" s="73">
        <v>0.54001204861542684</v>
      </c>
      <c r="X116" s="73">
        <v>5.1780385542228614E-2</v>
      </c>
      <c r="Y116" s="73">
        <f>SUM(O116:X116)</f>
        <v>100</v>
      </c>
      <c r="Z116" s="73">
        <v>1.876267047751643</v>
      </c>
      <c r="AA116" s="73">
        <v>0.69043555595210526</v>
      </c>
      <c r="AB116" s="59">
        <f t="shared" si="274"/>
        <v>3.1393448546385021</v>
      </c>
      <c r="AC116" s="60">
        <f t="shared" si="275"/>
        <v>4.5469049610421202</v>
      </c>
      <c r="AD116" s="57">
        <f t="shared" si="276"/>
        <v>100.31110624685607</v>
      </c>
      <c r="AE116" s="57"/>
      <c r="AF116" s="57">
        <f t="shared" si="277"/>
        <v>54.051152890076594</v>
      </c>
      <c r="AG116" s="57">
        <f t="shared" si="278"/>
        <v>0.15164447865601061</v>
      </c>
      <c r="AH116" s="57">
        <f t="shared" si="279"/>
        <v>9.9990255844850964</v>
      </c>
      <c r="AI116" s="57">
        <f t="shared" si="280"/>
        <v>6.9894235601750303</v>
      </c>
      <c r="AJ116" s="57">
        <f t="shared" si="281"/>
        <v>0.12530893137436991</v>
      </c>
      <c r="AK116" s="57">
        <f t="shared" si="282"/>
        <v>15.080972723563141</v>
      </c>
      <c r="AL116" s="57">
        <f t="shared" si="283"/>
        <v>6.5452612791371596</v>
      </c>
      <c r="AM116" s="57">
        <f t="shared" si="284"/>
        <v>1.266368862681392</v>
      </c>
      <c r="AN116" s="57">
        <f t="shared" si="285"/>
        <v>0.51176941847283997</v>
      </c>
      <c r="AO116" s="57">
        <f t="shared" si="286"/>
        <v>4.9072271378370058E-2</v>
      </c>
      <c r="AP116" s="57">
        <f>SUM(AF116:AO116)</f>
        <v>94.769999999999982</v>
      </c>
      <c r="AQ116" s="57"/>
      <c r="AR116" s="84">
        <f t="shared" si="287"/>
        <v>53.883517899864302</v>
      </c>
      <c r="AS116" s="85">
        <f t="shared" si="288"/>
        <v>0.15117416638076744</v>
      </c>
      <c r="AT116" s="85">
        <f t="shared" si="289"/>
        <v>9.9680144687851886</v>
      </c>
      <c r="AU116" s="85">
        <f t="shared" si="290"/>
        <v>6.9677464656552832</v>
      </c>
      <c r="AV116" s="85">
        <f t="shared" si="291"/>
        <v>0.1249202965282793</v>
      </c>
      <c r="AW116" s="85">
        <f t="shared" si="292"/>
        <v>15.034200386994343</v>
      </c>
      <c r="AX116" s="85">
        <f t="shared" si="293"/>
        <v>6.5249617156348529</v>
      </c>
      <c r="AY116" s="85">
        <f t="shared" si="294"/>
        <v>1.2624413288444643</v>
      </c>
      <c r="AZ116" s="85">
        <f t="shared" si="295"/>
        <v>0.51018220974796569</v>
      </c>
      <c r="BA116" s="85">
        <f t="shared" si="296"/>
        <v>4.8920077959870044E-2</v>
      </c>
      <c r="BB116" s="85">
        <f>SUM(AR116:BA116)</f>
        <v>94.476079016395303</v>
      </c>
      <c r="BC116" s="85">
        <f t="shared" si="297"/>
        <v>2.9659299254654115</v>
      </c>
      <c r="BD116" s="85">
        <f t="shared" si="298"/>
        <v>4.2957375237945516</v>
      </c>
      <c r="BE116" s="85">
        <f t="shared" si="299"/>
        <v>100</v>
      </c>
      <c r="BF116" s="84">
        <f t="shared" si="300"/>
        <v>56.857146670744228</v>
      </c>
      <c r="BG116" s="85">
        <f t="shared" si="301"/>
        <v>0.15951690026460635</v>
      </c>
      <c r="BH116" s="85">
        <f t="shared" si="302"/>
        <v>10.518111711285416</v>
      </c>
      <c r="BI116" s="85">
        <f t="shared" si="303"/>
        <v>3.1296084472569503</v>
      </c>
      <c r="BJ116" s="85">
        <f t="shared" si="304"/>
        <v>4.5328031273552307</v>
      </c>
      <c r="BK116" s="85">
        <f t="shared" si="305"/>
        <v>0.13181417803975867</v>
      </c>
      <c r="BL116" s="85">
        <f t="shared" si="306"/>
        <v>15.863881383343193</v>
      </c>
      <c r="BM116" s="85">
        <f t="shared" si="307"/>
        <v>6.8850498212882272</v>
      </c>
      <c r="BN116" s="85">
        <f t="shared" si="308"/>
        <v>1.3321107194728969</v>
      </c>
      <c r="BO116" s="85">
        <f t="shared" si="309"/>
        <v>0.53833724780834202</v>
      </c>
      <c r="BP116" s="85">
        <f t="shared" si="310"/>
        <v>5.1619793141152316E-2</v>
      </c>
      <c r="BQ116" s="85">
        <f>SUM(BF116:BP116)</f>
        <v>100.00000000000001</v>
      </c>
      <c r="BR116" s="85"/>
      <c r="BS116" s="82">
        <f>AR116/Weights!$B$5*2+AS116/Weights!$B$7*2+AT116/Weights!$B$8*3+'Data and calc.'!BC116/Weights!$B$20*3+'Data and calc.'!BD116/Weights!$B$10+'Data and calc.'!AV116/Weights!$B$11+'Data and calc.'!AW116/Weights!$B$13+'Data and calc.'!AX116/Weights!$B$14+'Data and calc.'!AY116/Weights!$B$15+AZ116/Weights!$B$16+B116/Weights!$B$19+'Data and calc.'!BA116/Weights!$B$6*5</f>
        <v>3.0151865677167855</v>
      </c>
      <c r="BT116" s="84">
        <f>AR116/Weights!$B$5*8/'Data and calc.'!$BS116</f>
        <v>2.3794694311443401</v>
      </c>
      <c r="BU116" s="85">
        <f>AS116/Weights!$B$7*8/'Data and calc.'!$BS116</f>
        <v>5.0222333048182298E-3</v>
      </c>
      <c r="BV116" s="85">
        <f>AT116/Weights!$B$8*8/'Data and calc.'!$BS116*2</f>
        <v>0.51878128179343708</v>
      </c>
      <c r="BW116" s="85">
        <f>BC116/Weights!$B$20*8/'Data and calc.'!$BS116*2</f>
        <v>9.8559188021954555E-2</v>
      </c>
      <c r="BX116" s="85">
        <f>BD116/Weights!$B$10*8/'Data and calc.'!$BS116</f>
        <v>0.15864377316110137</v>
      </c>
      <c r="BY116" s="85">
        <f>AV116/Weights!$B$11*8/'Data and calc.'!$BS116</f>
        <v>4.6723537526842315E-3</v>
      </c>
      <c r="BZ116" s="85">
        <f>AW116/Weights!$B$13*8/'Data and calc.'!$BS116</f>
        <v>0.98971005305930593</v>
      </c>
      <c r="CA116" s="85">
        <f>AX116/Weights!$B$14*8/'Data and calc.'!$BS116</f>
        <v>0.30872300537166159</v>
      </c>
      <c r="CB116" s="85">
        <f>AY116/Weights!$B$15*8/'Data and calc.'!$BS116*2</f>
        <v>0.10808754808312108</v>
      </c>
      <c r="CC116" s="85">
        <f>AZ116/Weights!$B$16*8/'Data and calc.'!$BS116*2</f>
        <v>2.8740908142288257E-2</v>
      </c>
      <c r="CD116" s="85">
        <f>BA116/Weights!$B$6*8/'Data and calc.'!$BS116*2</f>
        <v>1.8288536503716381E-3</v>
      </c>
      <c r="CE116" s="85">
        <f>B116/Weights!$B$19*8/'Data and calc.'!$BS116*2</f>
        <v>1.5405408375904159</v>
      </c>
      <c r="CF116" s="85">
        <f t="shared" si="326"/>
        <v>12.007328537058202</v>
      </c>
      <c r="CG116" s="85">
        <f t="shared" si="327"/>
        <v>1.3300781937028614</v>
      </c>
      <c r="CH116" s="85"/>
      <c r="CI116" s="85">
        <f>AR116/Weights!$B$5*2+AS116/Weights!$B$7*2+AT116/Weights!$B$8*3+'Data and calc.'!BC116/Weights!$B$20*3+'Data and calc.'!BD116/Weights!$B$10+'Data and calc.'!AV116/Weights!$B$11+'Data and calc.'!AW116/Weights!$B$13+'Data and calc.'!AX116/Weights!$B$14+'Data and calc.'!AY116/Weights!$B$15+AZ116/Weights!$B$16+'Data and calc.'!BA116/Weights!$B$6*5</f>
        <v>2.7248729401841736</v>
      </c>
      <c r="CJ116" s="84">
        <f>AR116/Weights!$B$5*8/'Data and calc.'!$CI116</f>
        <v>2.6329830507965588</v>
      </c>
      <c r="CK116" s="85">
        <f>AS116/Weights!$B$7*8/'Data and calc.'!$CI116</f>
        <v>5.5573124813681389E-3</v>
      </c>
      <c r="CL116" s="85">
        <f>AT116/Weights!$B$8*8/'Data and calc.'!$CI116*2</f>
        <v>0.57405331800195514</v>
      </c>
      <c r="CM116" s="85">
        <f>BC116/Weights!$B$20*8/'Data and calc.'!$CI116*2</f>
        <v>0.10905988879935977</v>
      </c>
      <c r="CN116" s="85">
        <f>BD116/Weights!$B$10*8/'Data and calc.'!$CI116</f>
        <v>0.17554601054349733</v>
      </c>
      <c r="CO116" s="85">
        <f>AV116/Weights!$B$11*8/'Data and calc.'!$CI116</f>
        <v>5.1701560344176644E-3</v>
      </c>
      <c r="CP116" s="85">
        <f>AW116/Weights!$B$13*8/'Data and calc.'!$CI116</f>
        <v>1.0951558195285933</v>
      </c>
      <c r="CQ116" s="85">
        <f>AX116/Weights!$B$14*8/'Data and calc.'!$CI116</f>
        <v>0.34161499613955382</v>
      </c>
      <c r="CR116" s="85">
        <f>AY116/Weights!$B$15*8/'Data and calc.'!$CI116*2</f>
        <v>0.11960342014906614</v>
      </c>
      <c r="CS116" s="85">
        <f>AZ116/Weights!$B$16*8/'Data and calc.'!$CI116*2</f>
        <v>3.1803024242573405E-2</v>
      </c>
      <c r="CT116" s="85">
        <f>BA116/Weights!$B$6*8/'Data and calc.'!$CI116*2</f>
        <v>2.0237035201163033E-3</v>
      </c>
      <c r="CU116" s="85">
        <f t="shared" si="328"/>
        <v>7.9999999999999991</v>
      </c>
      <c r="CV116" s="85">
        <f t="shared" si="329"/>
        <v>13.286614280316966</v>
      </c>
      <c r="CW116" s="85">
        <f t="shared" si="330"/>
        <v>0.81687799839352393</v>
      </c>
      <c r="CX116" s="113"/>
      <c r="CY116" s="90">
        <f t="shared" si="311"/>
        <v>5.9445579313156006E-2</v>
      </c>
      <c r="CZ116" s="91">
        <f t="shared" si="331"/>
        <v>5.6110082928181049</v>
      </c>
      <c r="DA116" s="85">
        <f t="shared" si="312"/>
        <v>0.38100829281810444</v>
      </c>
      <c r="DB116" s="85">
        <f t="shared" si="318"/>
        <v>0.38100829281810444</v>
      </c>
      <c r="DC116" s="85"/>
      <c r="DD116" s="117"/>
      <c r="DE116" s="97"/>
      <c r="DF116" s="91">
        <f t="shared" si="313"/>
        <v>5.6116686966434894</v>
      </c>
      <c r="DG116" s="85">
        <f t="shared" si="314"/>
        <v>0.38166869664348901</v>
      </c>
      <c r="DH116" s="85">
        <f t="shared" si="319"/>
        <v>0.38166869664348901</v>
      </c>
      <c r="DI116" s="85">
        <f t="shared" si="320"/>
        <v>0.14567099399753963</v>
      </c>
      <c r="DJ116" s="85"/>
      <c r="DK116" s="117"/>
      <c r="DL116" s="99">
        <f>'Eq. 3 coef.'!$B$15+'Eq. 3 coef.'!$B$16*'Data and calc.'!G116^2+'Eq. 3 coef.'!$B$17*'Data and calc.'!G116+'Eq. 3 coef.'!$B$18*'Data and calc.'!BF116+'Eq. 3 coef.'!$B$19*'Data and calc.'!BG116+'Eq. 3 coef.'!$B$20*'Data and calc.'!BH116+'Eq. 3 coef.'!$B$21*'Data and calc.'!BI116+'Eq. 3 coef.'!$B$22*'Data and calc.'!BJ116+'Eq. 3 coef.'!$B$23*'Data and calc.'!BK116+'Eq. 3 coef.'!$B$24*'Data and calc.'!BL116+'Eq. 3 coef.'!$B$25*'Data and calc.'!BM116+'Eq. 3 coef.'!$B$26*'Data and calc.'!BN116+'Eq. 3 coef.'!$B$27*'Data and calc.'!BO116+'Eq. 3 coef.'!$B$28*'Data and calc.'!BP116</f>
        <v>5.1599303352323886</v>
      </c>
      <c r="DM116" s="85">
        <f t="shared" si="315"/>
        <v>-7.0069664767611783E-2</v>
      </c>
      <c r="DN116" s="85">
        <f t="shared" si="332"/>
        <v>7.0069664767611783E-2</v>
      </c>
      <c r="DO116" s="85"/>
      <c r="DP116" s="117"/>
      <c r="DQ116" s="99">
        <f>'Eq. 4 coef.'!$B$15+'Eq. 4 coef.'!$B$16*'Data and calc.'!G116^2+'Eq. 4 coef.'!$B$17*'Data and calc.'!G116+'Eq. 4 coef.'!$B$18*'Data and calc.'!O116+'Eq. 4 coef.'!$B$19*'Data and calc.'!P116+'Eq. 4 coef.'!$B$20*'Data and calc.'!Q116+'Eq. 4 coef.'!$B$21*'Data and calc.'!R116+'Eq. 4 coef.'!$B$22*'Data and calc.'!S116+'Eq. 4 coef.'!$B$23*'Data and calc.'!T116+'Eq. 4 coef.'!$B$24*'Data and calc.'!U116+'Eq. 4 coef.'!$B$25*'Data and calc.'!V116+'Eq. 4 coef.'!$B$26*'Data and calc.'!W116+'Eq. 4 coef.'!$B$27*'Data and calc.'!X116</f>
        <v>5.0033940894286957</v>
      </c>
      <c r="DR116" s="85">
        <f t="shared" si="316"/>
        <v>-0.22660591057130475</v>
      </c>
      <c r="DS116" s="94">
        <f t="shared" si="317"/>
        <v>0.22660591057130475</v>
      </c>
      <c r="DT116" s="85"/>
    </row>
    <row r="117" spans="1:124" ht="15" x14ac:dyDescent="0.2">
      <c r="A117" s="69" t="s">
        <v>484</v>
      </c>
      <c r="B117" s="73">
        <v>5.53</v>
      </c>
      <c r="C117" s="73">
        <v>0.21</v>
      </c>
      <c r="D117" s="126">
        <f t="shared" si="270"/>
        <v>3.7974683544303796</v>
      </c>
      <c r="E117" s="72">
        <f t="shared" si="271"/>
        <v>5.8537101725415479E-2</v>
      </c>
      <c r="F117" s="64">
        <f t="shared" si="272"/>
        <v>42.883812624395276</v>
      </c>
      <c r="G117" s="73">
        <v>6.5485733274046245</v>
      </c>
      <c r="H117" s="73">
        <v>0.11001738459371677</v>
      </c>
      <c r="I117" s="126">
        <f>H117*100/G117</f>
        <v>1.6800206563056019</v>
      </c>
      <c r="J117" s="74">
        <v>1180</v>
      </c>
      <c r="K117" s="74">
        <v>430</v>
      </c>
      <c r="L117" s="73">
        <v>0.78180801483429929</v>
      </c>
      <c r="M117" s="70">
        <v>1.8</v>
      </c>
      <c r="N117" s="64">
        <f t="shared" si="273"/>
        <v>1.586200236721665</v>
      </c>
      <c r="O117" s="76">
        <v>60.883509915143527</v>
      </c>
      <c r="P117" s="73">
        <v>0.18195941115170275</v>
      </c>
      <c r="Q117" s="73">
        <v>12.789108443003361</v>
      </c>
      <c r="R117" s="73">
        <v>7.1648483451236729</v>
      </c>
      <c r="S117" s="73">
        <v>0.11050389953326559</v>
      </c>
      <c r="T117" s="73">
        <v>9.0884253553287913</v>
      </c>
      <c r="U117" s="73">
        <v>7.10552171078659</v>
      </c>
      <c r="V117" s="73">
        <v>2.0918599979910244</v>
      </c>
      <c r="W117" s="73">
        <v>0.56230384552905732</v>
      </c>
      <c r="X117" s="73">
        <v>2.1948089656294467E-2</v>
      </c>
      <c r="Y117" s="73">
        <f>SUM(O117:X117)</f>
        <v>99.999989013247287</v>
      </c>
      <c r="Z117" s="73">
        <v>2.6541638435200818</v>
      </c>
      <c r="AA117" s="73">
        <v>0.79881737043805923</v>
      </c>
      <c r="AB117" s="59">
        <f t="shared" si="274"/>
        <v>3.3282282515018813</v>
      </c>
      <c r="AC117" s="60">
        <f t="shared" si="275"/>
        <v>4.1664445149417979</v>
      </c>
      <c r="AD117" s="57">
        <f t="shared" si="276"/>
        <v>100.32982442132001</v>
      </c>
      <c r="AE117" s="57"/>
      <c r="AF117" s="57">
        <f t="shared" si="277"/>
        <v>57.516651816836095</v>
      </c>
      <c r="AG117" s="57">
        <f t="shared" si="278"/>
        <v>0.1718970557150136</v>
      </c>
      <c r="AH117" s="57">
        <f t="shared" si="279"/>
        <v>12.081870746105276</v>
      </c>
      <c r="AI117" s="57">
        <f t="shared" si="280"/>
        <v>6.7686322316383336</v>
      </c>
      <c r="AJ117" s="57">
        <f t="shared" si="281"/>
        <v>0.104393033889076</v>
      </c>
      <c r="AK117" s="57">
        <f t="shared" si="282"/>
        <v>8.585835433179108</v>
      </c>
      <c r="AL117" s="57">
        <f t="shared" si="283"/>
        <v>6.7125863601800919</v>
      </c>
      <c r="AM117" s="57">
        <f t="shared" si="284"/>
        <v>1.9761801401021208</v>
      </c>
      <c r="AN117" s="57">
        <f t="shared" si="285"/>
        <v>0.53120844287130042</v>
      </c>
      <c r="AO117" s="57">
        <f t="shared" si="286"/>
        <v>2.0734360298301384E-2</v>
      </c>
      <c r="AP117" s="57">
        <f>SUM(AF117:AO117)</f>
        <v>94.469989620814744</v>
      </c>
      <c r="AQ117" s="57"/>
      <c r="AR117" s="84">
        <f t="shared" si="287"/>
        <v>57.327571485925823</v>
      </c>
      <c r="AS117" s="85">
        <f t="shared" si="288"/>
        <v>0.1713319610658918</v>
      </c>
      <c r="AT117" s="85">
        <f t="shared" si="289"/>
        <v>12.042152785366468</v>
      </c>
      <c r="AU117" s="85">
        <f t="shared" si="290"/>
        <v>6.7463810194807881</v>
      </c>
      <c r="AV117" s="85">
        <f t="shared" si="291"/>
        <v>0.10404985206661296</v>
      </c>
      <c r="AW117" s="85">
        <f t="shared" si="292"/>
        <v>8.5576103443819296</v>
      </c>
      <c r="AX117" s="85">
        <f t="shared" si="293"/>
        <v>6.6905193933078113</v>
      </c>
      <c r="AY117" s="85">
        <f t="shared" si="294"/>
        <v>1.9696836424266522</v>
      </c>
      <c r="AZ117" s="85">
        <f t="shared" si="295"/>
        <v>0.52946214740750519</v>
      </c>
      <c r="BA117" s="85">
        <f t="shared" si="296"/>
        <v>2.0666198129910558E-2</v>
      </c>
      <c r="BB117" s="85">
        <f>SUM(AR117:BA117)</f>
        <v>94.159428829559403</v>
      </c>
      <c r="BC117" s="85">
        <f t="shared" si="297"/>
        <v>3.1338410560655698</v>
      </c>
      <c r="BD117" s="85">
        <f t="shared" si="298"/>
        <v>3.9231007887910851</v>
      </c>
      <c r="BE117" s="85">
        <f t="shared" si="299"/>
        <v>99.999989654935263</v>
      </c>
      <c r="BF117" s="84">
        <f t="shared" si="300"/>
        <v>60.683361369668489</v>
      </c>
      <c r="BG117" s="85">
        <f t="shared" si="301"/>
        <v>0.18136123749962083</v>
      </c>
      <c r="BH117" s="85">
        <f t="shared" si="302"/>
        <v>12.74706550795646</v>
      </c>
      <c r="BI117" s="85">
        <f t="shared" si="303"/>
        <v>3.3172870287557639</v>
      </c>
      <c r="BJ117" s="85">
        <f t="shared" si="304"/>
        <v>4.1527477387436065</v>
      </c>
      <c r="BK117" s="85">
        <f t="shared" si="305"/>
        <v>0.11014062884155072</v>
      </c>
      <c r="BL117" s="85">
        <f t="shared" si="306"/>
        <v>9.0585480516374819</v>
      </c>
      <c r="BM117" s="85">
        <f t="shared" si="307"/>
        <v>7.0821630076297355</v>
      </c>
      <c r="BN117" s="85">
        <f t="shared" si="308"/>
        <v>2.084983214170268</v>
      </c>
      <c r="BO117" s="85">
        <f t="shared" si="309"/>
        <v>0.56045532699005529</v>
      </c>
      <c r="BP117" s="85">
        <f t="shared" si="310"/>
        <v>2.1875937472118728E-2</v>
      </c>
      <c r="BQ117" s="85">
        <f>SUM(BF117:BP117)</f>
        <v>99.999989049365126</v>
      </c>
      <c r="BR117" s="85"/>
      <c r="BS117" s="82">
        <f>AR117/Weights!$B$5*2+AS117/Weights!$B$7*2+AT117/Weights!$B$8*3+'Data and calc.'!BC117/Weights!$B$20*3+'Data and calc.'!BD117/Weights!$B$10+'Data and calc.'!AV117/Weights!$B$11+'Data and calc.'!AW117/Weights!$B$13+'Data and calc.'!AX117/Weights!$B$14+'Data and calc.'!AY117/Weights!$B$15+AZ117/Weights!$B$16+B117/Weights!$B$19+'Data and calc.'!BA117/Weights!$B$6*5</f>
        <v>3.0585682070343903</v>
      </c>
      <c r="BT117" s="84">
        <f>AR117/Weights!$B$5*8/'Data and calc.'!$BS117</f>
        <v>2.495650427318115</v>
      </c>
      <c r="BU117" s="85">
        <f>AS117/Weights!$B$7*8/'Data and calc.'!$BS117</f>
        <v>5.611173622831824E-3</v>
      </c>
      <c r="BV117" s="85">
        <f>AT117/Weights!$B$8*8/'Data and calc.'!$BS117*2</f>
        <v>0.6178396717168062</v>
      </c>
      <c r="BW117" s="85">
        <f>BC117/Weights!$B$20*8/'Data and calc.'!$BS117*2</f>
        <v>0.10266188087149547</v>
      </c>
      <c r="BX117" s="85">
        <f>BD117/Weights!$B$10*8/'Data and calc.'!$BS117</f>
        <v>0.14282715277713506</v>
      </c>
      <c r="BY117" s="85">
        <f>AV117/Weights!$B$11*8/'Data and calc.'!$BS117</f>
        <v>3.8365441215562055E-3</v>
      </c>
      <c r="BZ117" s="85">
        <f>AW117/Weights!$B$13*8/'Data and calc.'!$BS117</f>
        <v>0.55536201844733102</v>
      </c>
      <c r="CA117" s="85">
        <f>AX117/Weights!$B$14*8/'Data and calc.'!$BS117</f>
        <v>0.31206630538853403</v>
      </c>
      <c r="CB117" s="85">
        <f>AY117/Weights!$B$15*8/'Data and calc.'!$BS117*2</f>
        <v>0.16624820298237006</v>
      </c>
      <c r="CC117" s="85">
        <f>AZ117/Weights!$B$16*8/'Data and calc.'!$BS117*2</f>
        <v>2.9403979598371929E-2</v>
      </c>
      <c r="CD117" s="85">
        <f>BA117/Weights!$B$6*8/'Data and calc.'!$BS117*2</f>
        <v>7.616376802563517E-4</v>
      </c>
      <c r="CE117" s="85">
        <f>B117/Weights!$B$19*8/'Data and calc.'!$BS117*2</f>
        <v>1.6058045260201717</v>
      </c>
      <c r="CF117" s="85">
        <f t="shared" si="326"/>
        <v>12.887052614116994</v>
      </c>
      <c r="CG117" s="85">
        <f t="shared" si="327"/>
        <v>0.96622477740890367</v>
      </c>
      <c r="CH117" s="85"/>
      <c r="CI117" s="85">
        <f>AR117/Weights!$B$5*2+AS117/Weights!$B$7*2+AT117/Weights!$B$8*3+'Data and calc.'!BC117/Weights!$B$20*3+'Data and calc.'!BD117/Weights!$B$10+'Data and calc.'!AV117/Weights!$B$11+'Data and calc.'!AW117/Weights!$B$13+'Data and calc.'!AX117/Weights!$B$14+'Data and calc.'!AY117/Weights!$B$15+AZ117/Weights!$B$16+'Data and calc.'!BA117/Weights!$B$6*5</f>
        <v>2.7516017901595635</v>
      </c>
      <c r="CJ117" s="84">
        <f>AR117/Weights!$B$5*8/'Data and calc.'!$CI117</f>
        <v>2.7740631221294336</v>
      </c>
      <c r="CK117" s="85">
        <f>AS117/Weights!$B$7*8/'Data and calc.'!$CI117</f>
        <v>6.2371515051050227E-3</v>
      </c>
      <c r="CL117" s="85">
        <f>AT117/Weights!$B$8*8/'Data and calc.'!$CI117*2</f>
        <v>0.68676535380797432</v>
      </c>
      <c r="CM117" s="85">
        <f>BC117/Weights!$B$20*8/'Data and calc.'!$CI117*2</f>
        <v>0.11411475527848799</v>
      </c>
      <c r="CN117" s="85">
        <f>BD117/Weights!$B$10*8/'Data and calc.'!$CI117</f>
        <v>0.15876083165364438</v>
      </c>
      <c r="CO117" s="85">
        <f>AV117/Weights!$B$11*8/'Data and calc.'!$CI117</f>
        <v>4.2645458063886588E-3</v>
      </c>
      <c r="CP117" s="85">
        <f>AW117/Weights!$B$13*8/'Data and calc.'!$CI117</f>
        <v>0.6173177452828128</v>
      </c>
      <c r="CQ117" s="85">
        <f>AX117/Weights!$B$14*8/'Data and calc.'!$CI117</f>
        <v>0.34688016396904059</v>
      </c>
      <c r="CR117" s="85">
        <f>AY117/Weights!$B$15*8/'Data and calc.'!$CI117*2</f>
        <v>0.18479471482281251</v>
      </c>
      <c r="CS117" s="85">
        <f>AZ117/Weights!$B$16*8/'Data and calc.'!$CI117*2</f>
        <v>3.2684263210430969E-2</v>
      </c>
      <c r="CT117" s="85">
        <f>BA117/Weights!$B$6*8/'Data and calc.'!$CI117*2</f>
        <v>8.4660534908883537E-4</v>
      </c>
      <c r="CU117" s="85">
        <f t="shared" si="328"/>
        <v>8.0000000000000018</v>
      </c>
      <c r="CV117" s="85">
        <f t="shared" si="329"/>
        <v>14.324721530884004</v>
      </c>
      <c r="CW117" s="85">
        <f t="shared" si="330"/>
        <v>0.46780063835910729</v>
      </c>
      <c r="CX117" s="113"/>
      <c r="CY117" s="90">
        <f t="shared" si="311"/>
        <v>5.2713216348953817E-2</v>
      </c>
      <c r="CZ117" s="91">
        <f t="shared" si="331"/>
        <v>5.0073672041256501</v>
      </c>
      <c r="DA117" s="85">
        <f t="shared" si="312"/>
        <v>-0.52263279587435019</v>
      </c>
      <c r="DB117" s="85">
        <f t="shared" si="318"/>
        <v>0.52263279587435019</v>
      </c>
      <c r="DC117" s="85"/>
      <c r="DD117" s="117"/>
      <c r="DE117" s="97"/>
      <c r="DF117" s="91">
        <f t="shared" si="313"/>
        <v>5.0151459916725232</v>
      </c>
      <c r="DG117" s="85">
        <f t="shared" si="314"/>
        <v>-0.51485400832747708</v>
      </c>
      <c r="DH117" s="85">
        <f t="shared" si="319"/>
        <v>0.51485400832747708</v>
      </c>
      <c r="DI117" s="85">
        <f t="shared" si="320"/>
        <v>0.26507464989086982</v>
      </c>
      <c r="DJ117" s="85"/>
      <c r="DK117" s="117"/>
      <c r="DL117" s="99">
        <f>'Eq. 3 coef.'!$B$15+'Eq. 3 coef.'!$B$16*'Data and calc.'!G117^2+'Eq. 3 coef.'!$B$17*'Data and calc.'!G117+'Eq. 3 coef.'!$B$18*'Data and calc.'!BF117+'Eq. 3 coef.'!$B$19*'Data and calc.'!BG117+'Eq. 3 coef.'!$B$20*'Data and calc.'!BH117+'Eq. 3 coef.'!$B$21*'Data and calc.'!BI117+'Eq. 3 coef.'!$B$22*'Data and calc.'!BJ117+'Eq. 3 coef.'!$B$23*'Data and calc.'!BK117+'Eq. 3 coef.'!$B$24*'Data and calc.'!BL117+'Eq. 3 coef.'!$B$25*'Data and calc.'!BM117+'Eq. 3 coef.'!$B$26*'Data and calc.'!BN117+'Eq. 3 coef.'!$B$27*'Data and calc.'!BO117+'Eq. 3 coef.'!$B$28*'Data and calc.'!BP117</f>
        <v>4.8302976843605165</v>
      </c>
      <c r="DM117" s="85">
        <f t="shared" si="315"/>
        <v>-0.69970231563948371</v>
      </c>
      <c r="DN117" s="85">
        <f t="shared" si="332"/>
        <v>0.69970231563948371</v>
      </c>
      <c r="DO117" s="85"/>
      <c r="DP117" s="117"/>
      <c r="DQ117" s="99">
        <f>'Eq. 4 coef.'!$B$15+'Eq. 4 coef.'!$B$16*'Data and calc.'!G117^2+'Eq. 4 coef.'!$B$17*'Data and calc.'!G117+'Eq. 4 coef.'!$B$18*'Data and calc.'!O117+'Eq. 4 coef.'!$B$19*'Data and calc.'!P117+'Eq. 4 coef.'!$B$20*'Data and calc.'!Q117+'Eq. 4 coef.'!$B$21*'Data and calc.'!R117+'Eq. 4 coef.'!$B$22*'Data and calc.'!S117+'Eq. 4 coef.'!$B$23*'Data and calc.'!T117+'Eq. 4 coef.'!$B$24*'Data and calc.'!U117+'Eq. 4 coef.'!$B$25*'Data and calc.'!V117+'Eq. 4 coef.'!$B$26*'Data and calc.'!W117+'Eq. 4 coef.'!$B$27*'Data and calc.'!X117</f>
        <v>4.8227576987271306</v>
      </c>
      <c r="DR117" s="85">
        <f t="shared" si="316"/>
        <v>-0.70724230127286969</v>
      </c>
      <c r="DS117" s="94">
        <f t="shared" si="317"/>
        <v>0.70724230127286969</v>
      </c>
      <c r="DT117" s="85"/>
    </row>
    <row r="118" spans="1:124" ht="15" x14ac:dyDescent="0.2">
      <c r="A118" s="69" t="s">
        <v>491</v>
      </c>
      <c r="B118" s="73">
        <v>5.21</v>
      </c>
      <c r="C118" s="73">
        <v>0.18</v>
      </c>
      <c r="D118" s="126">
        <f t="shared" si="270"/>
        <v>3.45489443378119</v>
      </c>
      <c r="E118" s="72">
        <f t="shared" si="271"/>
        <v>5.4963603755670429E-2</v>
      </c>
      <c r="F118" s="64">
        <f t="shared" si="272"/>
        <v>56.853756185453506</v>
      </c>
      <c r="G118" s="73">
        <v>7.5401429817645704</v>
      </c>
      <c r="H118" s="73">
        <v>0.11414239398956016</v>
      </c>
      <c r="I118" s="126">
        <f>H118*100/G118</f>
        <v>1.5137961477071111</v>
      </c>
      <c r="J118" s="74">
        <v>1250</v>
      </c>
      <c r="K118" s="74">
        <v>200</v>
      </c>
      <c r="L118" s="73">
        <v>1</v>
      </c>
      <c r="M118" s="70">
        <v>2.2999999999999998</v>
      </c>
      <c r="N118" s="64">
        <f t="shared" si="273"/>
        <v>2.2999999999999998</v>
      </c>
      <c r="O118" s="76">
        <v>62.129389634638265</v>
      </c>
      <c r="P118" s="73">
        <v>0.23063718654928839</v>
      </c>
      <c r="Q118" s="73">
        <v>14.496401245341877</v>
      </c>
      <c r="R118" s="73">
        <v>6.1675915823393792</v>
      </c>
      <c r="S118" s="73">
        <v>8.8210175718965486E-2</v>
      </c>
      <c r="T118" s="73">
        <v>6.4078365939305728</v>
      </c>
      <c r="U118" s="73">
        <v>6.8872933723895402</v>
      </c>
      <c r="V118" s="73">
        <v>2.529433954312275</v>
      </c>
      <c r="W118" s="73">
        <v>1.0167384939097261</v>
      </c>
      <c r="X118" s="73">
        <v>4.6467760870096783E-2</v>
      </c>
      <c r="Y118" s="73">
        <f>SUM(O118:X118)</f>
        <v>100</v>
      </c>
      <c r="Z118" s="73">
        <v>3.5461724482220012</v>
      </c>
      <c r="AA118" s="73">
        <v>1.3641884350752838</v>
      </c>
      <c r="AB118" s="59">
        <f t="shared" si="274"/>
        <v>3.7746803187968725</v>
      </c>
      <c r="AC118" s="60">
        <f t="shared" si="275"/>
        <v>2.7669786825223772</v>
      </c>
      <c r="AD118" s="57">
        <f t="shared" si="276"/>
        <v>100.37406741897986</v>
      </c>
      <c r="AE118" s="57"/>
      <c r="AF118" s="57">
        <f t="shared" si="277"/>
        <v>58.892448434673618</v>
      </c>
      <c r="AG118" s="57">
        <f t="shared" si="278"/>
        <v>0.2186209891300705</v>
      </c>
      <c r="AH118" s="57">
        <f t="shared" si="279"/>
        <v>13.741138740459567</v>
      </c>
      <c r="AI118" s="57">
        <f t="shared" si="280"/>
        <v>5.8462600608994979</v>
      </c>
      <c r="AJ118" s="57">
        <f t="shared" si="281"/>
        <v>8.3614425564007389E-2</v>
      </c>
      <c r="AK118" s="57">
        <f t="shared" si="282"/>
        <v>6.0739883073867906</v>
      </c>
      <c r="AL118" s="57">
        <f t="shared" si="283"/>
        <v>6.528465387688045</v>
      </c>
      <c r="AM118" s="57">
        <f t="shared" si="284"/>
        <v>2.3976504452926055</v>
      </c>
      <c r="AN118" s="57">
        <f t="shared" si="285"/>
        <v>0.96376641837702948</v>
      </c>
      <c r="AO118" s="57">
        <f t="shared" si="286"/>
        <v>4.4046790528764743E-2</v>
      </c>
      <c r="AP118" s="57">
        <f>SUM(AF118:AO118)</f>
        <v>94.79</v>
      </c>
      <c r="AQ118" s="57"/>
      <c r="AR118" s="84">
        <f t="shared" si="287"/>
        <v>58.672971962813541</v>
      </c>
      <c r="AS118" s="85">
        <f t="shared" si="288"/>
        <v>0.21780624692382564</v>
      </c>
      <c r="AT118" s="85">
        <f t="shared" si="289"/>
        <v>13.689929175731736</v>
      </c>
      <c r="AU118" s="85">
        <f t="shared" si="290"/>
        <v>5.8244726065509838</v>
      </c>
      <c r="AV118" s="85">
        <f t="shared" si="291"/>
        <v>8.330281686701542E-2</v>
      </c>
      <c r="AW118" s="85">
        <f t="shared" si="292"/>
        <v>6.0513521705091851</v>
      </c>
      <c r="AX118" s="85">
        <f t="shared" si="293"/>
        <v>6.5041355357624662</v>
      </c>
      <c r="AY118" s="85">
        <f t="shared" si="294"/>
        <v>2.3887150405934738</v>
      </c>
      <c r="AZ118" s="85">
        <f t="shared" si="295"/>
        <v>0.96017471759323125</v>
      </c>
      <c r="BA118" s="85">
        <f t="shared" si="296"/>
        <v>4.3882639870421229E-2</v>
      </c>
      <c r="BB118" s="85">
        <f>SUM(AR118:BA118)</f>
        <v>94.436742913215895</v>
      </c>
      <c r="BC118" s="85">
        <f t="shared" si="297"/>
        <v>3.5646851484579605</v>
      </c>
      <c r="BD118" s="85">
        <f t="shared" si="298"/>
        <v>2.6130445448771455</v>
      </c>
      <c r="BE118" s="85">
        <f t="shared" si="299"/>
        <v>100</v>
      </c>
      <c r="BF118" s="84">
        <f t="shared" si="300"/>
        <v>61.897849944945186</v>
      </c>
      <c r="BG118" s="85">
        <f t="shared" si="301"/>
        <v>0.22977766317525647</v>
      </c>
      <c r="BH118" s="85">
        <f t="shared" si="302"/>
        <v>14.442377018389847</v>
      </c>
      <c r="BI118" s="85">
        <f t="shared" si="303"/>
        <v>3.7606130904715269</v>
      </c>
      <c r="BJ118" s="85">
        <f t="shared" si="304"/>
        <v>2.7566668898376889</v>
      </c>
      <c r="BK118" s="85">
        <f t="shared" si="305"/>
        <v>8.7881439885025225E-2</v>
      </c>
      <c r="BL118" s="85">
        <f t="shared" si="306"/>
        <v>6.3839562933950678</v>
      </c>
      <c r="BM118" s="85">
        <f t="shared" si="307"/>
        <v>6.8616262641232888</v>
      </c>
      <c r="BN118" s="85">
        <f t="shared" si="308"/>
        <v>2.5200074275698636</v>
      </c>
      <c r="BO118" s="85">
        <f t="shared" si="309"/>
        <v>1.0129493803072382</v>
      </c>
      <c r="BP118" s="85">
        <f t="shared" si="310"/>
        <v>4.6294587900011841E-2</v>
      </c>
      <c r="BQ118" s="85">
        <f>SUM(BF118:BP118)</f>
        <v>99.999999999999986</v>
      </c>
      <c r="BR118" s="85"/>
      <c r="BS118" s="82">
        <f>AR118/Weights!$B$5*2+AS118/Weights!$B$7*2+AT118/Weights!$B$8*3+'Data and calc.'!BC118/Weights!$B$20*3+'Data and calc.'!BD118/Weights!$B$10+'Data and calc.'!AV118/Weights!$B$11+'Data and calc.'!AW118/Weights!$B$13+'Data and calc.'!AX118/Weights!$B$14+'Data and calc.'!AY118/Weights!$B$15+AZ118/Weights!$B$16+B118/Weights!$B$19+'Data and calc.'!BA118/Weights!$B$6*5</f>
        <v>3.07144741025611</v>
      </c>
      <c r="BT118" s="84">
        <f>AR118/Weights!$B$5*8/'Data and calc.'!$BS118</f>
        <v>2.5435096001288757</v>
      </c>
      <c r="BU118" s="85">
        <f>AS118/Weights!$B$7*8/'Data and calc.'!$BS118</f>
        <v>7.1033095185913447E-3</v>
      </c>
      <c r="BV118" s="85">
        <f>AT118/Weights!$B$8*8/'Data and calc.'!$BS118*2</f>
        <v>0.69943594176885859</v>
      </c>
      <c r="BW118" s="85">
        <f>BC118/Weights!$B$20*8/'Data and calc.'!$BS118*2</f>
        <v>0.11628628966056438</v>
      </c>
      <c r="BX118" s="85">
        <f>BD118/Weights!$B$10*8/'Data and calc.'!$BS118</f>
        <v>9.4733419171795272E-2</v>
      </c>
      <c r="BY118" s="85">
        <f>AV118/Weights!$B$11*8/'Data and calc.'!$BS118</f>
        <v>3.0586761973645203E-3</v>
      </c>
      <c r="BZ118" s="85">
        <f>AW118/Weights!$B$13*8/'Data and calc.'!$BS118</f>
        <v>0.39106701053702131</v>
      </c>
      <c r="CA118" s="85">
        <f>AX118/Weights!$B$14*8/'Data and calc.'!$BS118</f>
        <v>0.30210068794594086</v>
      </c>
      <c r="CB118" s="85">
        <f>AY118/Weights!$B$15*8/'Data and calc.'!$BS118*2</f>
        <v>0.20077050511926001</v>
      </c>
      <c r="CC118" s="85">
        <f>AZ118/Weights!$B$16*8/'Data and calc.'!$BS118*2</f>
        <v>5.3100247892301833E-2</v>
      </c>
      <c r="CD118" s="85">
        <f>BA118/Weights!$B$6*8/'Data and calc.'!$BS118*2</f>
        <v>1.6104812200417094E-3</v>
      </c>
      <c r="CE118" s="85">
        <f>B118/Weights!$B$19*8/'Data and calc.'!$BS118*2</f>
        <v>1.5065389203058452</v>
      </c>
      <c r="CF118" s="85">
        <f t="shared" si="326"/>
        <v>13.465340564307562</v>
      </c>
      <c r="CG118" s="85">
        <f t="shared" si="327"/>
        <v>0.7529432838590161</v>
      </c>
      <c r="CH118" s="85"/>
      <c r="CI118" s="85">
        <f>AR118/Weights!$B$5*2+AS118/Weights!$B$7*2+AT118/Weights!$B$8*3+'Data and calc.'!BC118/Weights!$B$20*3+'Data and calc.'!BD118/Weights!$B$10+'Data and calc.'!AV118/Weights!$B$11+'Data and calc.'!AW118/Weights!$B$13+'Data and calc.'!AX118/Weights!$B$14+'Data and calc.'!AY118/Weights!$B$15+AZ118/Weights!$B$16+'Data and calc.'!BA118/Weights!$B$6*5</f>
        <v>2.7822439686796461</v>
      </c>
      <c r="CJ118" s="84">
        <f>AR118/Weights!$B$5*8/'Data and calc.'!$CI118</f>
        <v>2.8078975324312796</v>
      </c>
      <c r="CK118" s="85">
        <f>AS118/Weights!$B$7*8/'Data and calc.'!$CI118</f>
        <v>7.8416709212883098E-3</v>
      </c>
      <c r="CL118" s="85">
        <f>AT118/Weights!$B$8*8/'Data and calc.'!$CI118*2</f>
        <v>0.77213958810574823</v>
      </c>
      <c r="CM118" s="85">
        <f>BC118/Weights!$B$20*8/'Data and calc.'!$CI118*2</f>
        <v>0.12837379728267725</v>
      </c>
      <c r="CN118" s="85">
        <f>BD118/Weights!$B$10*8/'Data and calc.'!$CI118</f>
        <v>0.10458058971658064</v>
      </c>
      <c r="CO118" s="85">
        <f>AV118/Weights!$B$11*8/'Data and calc.'!$CI118</f>
        <v>3.3766136941849813E-3</v>
      </c>
      <c r="CP118" s="85">
        <f>AW118/Weights!$B$13*8/'Data and calc.'!$CI118</f>
        <v>0.43171690558845999</v>
      </c>
      <c r="CQ118" s="85">
        <f>AX118/Weights!$B$14*8/'Data and calc.'!$CI118</f>
        <v>0.33350287971636472</v>
      </c>
      <c r="CR118" s="85">
        <f>AY118/Weights!$B$15*8/'Data and calc.'!$CI118*2</f>
        <v>0.22163981841499156</v>
      </c>
      <c r="CS118" s="85">
        <f>AZ118/Weights!$B$16*8/'Data and calc.'!$CI118*2</f>
        <v>5.8619812176344419E-2</v>
      </c>
      <c r="CT118" s="85">
        <f>BA118/Weights!$B$6*8/'Data and calc.'!$CI118*2</f>
        <v>1.777884480386041E-3</v>
      </c>
      <c r="CU118" s="85">
        <f t="shared" si="328"/>
        <v>7.9999999999999973</v>
      </c>
      <c r="CV118" s="85">
        <f t="shared" si="329"/>
        <v>14.865010354963973</v>
      </c>
      <c r="CW118" s="85">
        <f t="shared" si="330"/>
        <v>0.30541240616277476</v>
      </c>
      <c r="CX118" s="113"/>
      <c r="CY118" s="90">
        <f t="shared" si="311"/>
        <v>6.1250631072992952E-2</v>
      </c>
      <c r="CZ118" s="91">
        <f t="shared" si="331"/>
        <v>5.7715519105100181</v>
      </c>
      <c r="DA118" s="85">
        <f t="shared" si="312"/>
        <v>0.56155191051001818</v>
      </c>
      <c r="DB118" s="85">
        <f t="shared" si="318"/>
        <v>0.56155191051001818</v>
      </c>
      <c r="DC118" s="85"/>
      <c r="DD118" s="117"/>
      <c r="DE118" s="97"/>
      <c r="DF118" s="91">
        <f t="shared" si="313"/>
        <v>5.7698159249224839</v>
      </c>
      <c r="DG118" s="85">
        <f t="shared" si="314"/>
        <v>0.55981592492248389</v>
      </c>
      <c r="DH118" s="85">
        <f t="shared" si="319"/>
        <v>0.55981592492248389</v>
      </c>
      <c r="DI118" s="85">
        <f t="shared" si="320"/>
        <v>0.3133938697968161</v>
      </c>
      <c r="DJ118" s="85"/>
      <c r="DK118" s="117"/>
      <c r="DL118" s="99">
        <f>'Eq. 3 coef.'!$B$15+'Eq. 3 coef.'!$B$16*'Data and calc.'!G118^2+'Eq. 3 coef.'!$B$17*'Data and calc.'!G118+'Eq. 3 coef.'!$B$18*'Data and calc.'!BF118+'Eq. 3 coef.'!$B$19*'Data and calc.'!BG118+'Eq. 3 coef.'!$B$20*'Data and calc.'!BH118+'Eq. 3 coef.'!$B$21*'Data and calc.'!BI118+'Eq. 3 coef.'!$B$22*'Data and calc.'!BJ118+'Eq. 3 coef.'!$B$23*'Data and calc.'!BK118+'Eq. 3 coef.'!$B$24*'Data and calc.'!BL118+'Eq. 3 coef.'!$B$25*'Data and calc.'!BM118+'Eq. 3 coef.'!$B$26*'Data and calc.'!BN118+'Eq. 3 coef.'!$B$27*'Data and calc.'!BO118+'Eq. 3 coef.'!$B$28*'Data and calc.'!BP118</f>
        <v>5.7493213472554316</v>
      </c>
      <c r="DM118" s="85">
        <f t="shared" si="315"/>
        <v>0.53932134725543168</v>
      </c>
      <c r="DN118" s="85">
        <f t="shared" si="332"/>
        <v>0.53932134725543168</v>
      </c>
      <c r="DO118" s="85"/>
      <c r="DP118" s="117"/>
      <c r="DQ118" s="99">
        <f>'Eq. 4 coef.'!$B$15+'Eq. 4 coef.'!$B$16*'Data and calc.'!G118^2+'Eq. 4 coef.'!$B$17*'Data and calc.'!G118+'Eq. 4 coef.'!$B$18*'Data and calc.'!O118+'Eq. 4 coef.'!$B$19*'Data and calc.'!P118+'Eq. 4 coef.'!$B$20*'Data and calc.'!Q118+'Eq. 4 coef.'!$B$21*'Data and calc.'!R118+'Eq. 4 coef.'!$B$22*'Data and calc.'!S118+'Eq. 4 coef.'!$B$23*'Data and calc.'!T118+'Eq. 4 coef.'!$B$24*'Data and calc.'!U118+'Eq. 4 coef.'!$B$25*'Data and calc.'!V118+'Eq. 4 coef.'!$B$26*'Data and calc.'!W118+'Eq. 4 coef.'!$B$27*'Data and calc.'!X118</f>
        <v>5.7211532273354351</v>
      </c>
      <c r="DR118" s="85">
        <f t="shared" si="316"/>
        <v>0.51115322733543511</v>
      </c>
      <c r="DS118" s="94">
        <f t="shared" si="317"/>
        <v>0.51115322733543511</v>
      </c>
      <c r="DT118" s="85"/>
    </row>
    <row r="119" spans="1:124" ht="15" x14ac:dyDescent="0.2">
      <c r="A119" s="144" t="s">
        <v>693</v>
      </c>
      <c r="B119" s="73"/>
      <c r="C119" s="73"/>
      <c r="L119" s="73"/>
      <c r="AA119" s="73"/>
      <c r="BT119" s="84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5"/>
      <c r="CH119" s="85"/>
      <c r="CI119" s="85"/>
      <c r="CJ119" s="84"/>
      <c r="CK119" s="85"/>
      <c r="CL119" s="85"/>
      <c r="CM119" s="85"/>
      <c r="CN119" s="85"/>
      <c r="CO119" s="85"/>
      <c r="CP119" s="85"/>
      <c r="CQ119" s="85"/>
      <c r="CR119" s="85"/>
      <c r="CS119" s="85"/>
      <c r="CT119" s="85"/>
      <c r="CU119" s="85"/>
      <c r="CV119" s="85"/>
      <c r="CW119" s="85"/>
      <c r="CZ119" s="91"/>
      <c r="DA119" s="85"/>
      <c r="DB119" s="85"/>
      <c r="DC119" s="85"/>
      <c r="DG119" s="85"/>
      <c r="DH119" s="85"/>
      <c r="DI119" s="85"/>
      <c r="DJ119" s="85"/>
      <c r="DL119" s="100"/>
      <c r="DM119" s="92"/>
      <c r="DN119" s="85"/>
    </row>
    <row r="120" spans="1:124" ht="15" x14ac:dyDescent="0.2">
      <c r="A120" s="145" t="s">
        <v>615</v>
      </c>
      <c r="B120" s="73">
        <v>2.9</v>
      </c>
      <c r="C120" s="73"/>
      <c r="D120" s="127"/>
      <c r="E120" s="72">
        <f>B120/(100-B120)</f>
        <v>2.9866117404737384E-2</v>
      </c>
      <c r="F120" s="64">
        <f t="shared" ref="F120:F123" si="333">G120^2</f>
        <v>20.750449227104539</v>
      </c>
      <c r="G120" s="73">
        <v>4.5552660983859701</v>
      </c>
      <c r="H120" s="73">
        <v>8.3750054081293726E-2</v>
      </c>
      <c r="I120" s="126">
        <f>H120*100/G120</f>
        <v>1.8385326405183702</v>
      </c>
      <c r="J120" s="74">
        <v>1250</v>
      </c>
      <c r="K120" s="74">
        <v>200</v>
      </c>
      <c r="L120" s="73">
        <v>0.70280011908666784</v>
      </c>
      <c r="M120" s="70">
        <v>2.2999999999999998</v>
      </c>
      <c r="N120" s="64">
        <f>M120+2*LOG(L120)</f>
        <v>1.9936636528254512</v>
      </c>
      <c r="O120" s="76">
        <v>57.333066373010318</v>
      </c>
      <c r="P120" s="73">
        <v>0.25027530283311644</v>
      </c>
      <c r="Q120" s="73">
        <v>14.195615176694364</v>
      </c>
      <c r="R120" s="73">
        <v>6.8375212734007418</v>
      </c>
      <c r="S120" s="73">
        <v>0.15016518169986987</v>
      </c>
      <c r="T120" s="73">
        <v>8.7896686354990496</v>
      </c>
      <c r="U120" s="73">
        <v>10.111122234457905</v>
      </c>
      <c r="V120" s="73">
        <v>2.0522574832315548</v>
      </c>
      <c r="W120" s="73">
        <v>0.28030833917309045</v>
      </c>
      <c r="X120" s="73">
        <v>0</v>
      </c>
      <c r="Y120" s="73">
        <f>SUM(O120:X120)</f>
        <v>100.00000000000003</v>
      </c>
      <c r="Z120" s="73">
        <v>2.3325658224046451</v>
      </c>
      <c r="AA120" s="73">
        <v>1.0058770528226955</v>
      </c>
      <c r="AB120" s="59">
        <f>(R120-AC120)*1.11</f>
        <v>3.6080798594121535</v>
      </c>
      <c r="AC120" s="60">
        <f>R120*1.11/(AA120+1.11)</f>
        <v>3.586998877533937</v>
      </c>
      <c r="AD120" s="57">
        <f>100-R120+AB120+AC120</f>
        <v>100.35755746354536</v>
      </c>
      <c r="AE120" s="57"/>
      <c r="AF120" s="57">
        <f t="shared" ref="AF120:AO123" si="334">O120*(100-$B120)/100</f>
        <v>55.670407448193018</v>
      </c>
      <c r="AG120" s="57">
        <f t="shared" si="334"/>
        <v>0.24301731905095603</v>
      </c>
      <c r="AH120" s="57">
        <f t="shared" si="334"/>
        <v>13.783942336570226</v>
      </c>
      <c r="AI120" s="57">
        <f t="shared" si="334"/>
        <v>6.6392331564721196</v>
      </c>
      <c r="AJ120" s="57">
        <f t="shared" si="334"/>
        <v>0.14581039143057364</v>
      </c>
      <c r="AK120" s="57">
        <f t="shared" si="334"/>
        <v>8.5347682450695768</v>
      </c>
      <c r="AL120" s="57">
        <f t="shared" si="334"/>
        <v>9.8178996896586259</v>
      </c>
      <c r="AM120" s="57">
        <f t="shared" si="334"/>
        <v>1.9927420162178395</v>
      </c>
      <c r="AN120" s="57">
        <f t="shared" si="334"/>
        <v>0.27217939733707081</v>
      </c>
      <c r="AO120" s="57">
        <f t="shared" si="334"/>
        <v>0</v>
      </c>
      <c r="AP120" s="57">
        <f>SUM(AF120:AO120)</f>
        <v>97.100000000000009</v>
      </c>
      <c r="AQ120" s="57"/>
      <c r="AR120" s="84">
        <f t="shared" ref="AR120:BA123" si="335">O120*(100-$B120)/$AD120</f>
        <v>55.472062946943637</v>
      </c>
      <c r="AS120" s="85">
        <f t="shared" si="335"/>
        <v>0.24215148833134115</v>
      </c>
      <c r="AT120" s="85">
        <f t="shared" si="335"/>
        <v>13.734832418153669</v>
      </c>
      <c r="AU120" s="85">
        <f t="shared" si="335"/>
        <v>6.6155786612122416</v>
      </c>
      <c r="AV120" s="85">
        <f t="shared" si="335"/>
        <v>0.14529089299880471</v>
      </c>
      <c r="AW120" s="85">
        <f t="shared" si="335"/>
        <v>8.5043602701967025</v>
      </c>
      <c r="AX120" s="85">
        <f t="shared" si="335"/>
        <v>9.7829201285861842</v>
      </c>
      <c r="AY120" s="85">
        <f t="shared" si="335"/>
        <v>1.9856422043169975</v>
      </c>
      <c r="AZ120" s="85">
        <f t="shared" si="335"/>
        <v>0.27120966693110216</v>
      </c>
      <c r="BA120" s="85">
        <f t="shared" si="335"/>
        <v>0</v>
      </c>
      <c r="BB120" s="85">
        <f>SUM(AR120:BA120)</f>
        <v>96.754048677670667</v>
      </c>
      <c r="BC120" s="85">
        <f t="shared" ref="BC120:BD123" si="336">AB120*(100-$B120)/$AD120</f>
        <v>3.4909633435048666</v>
      </c>
      <c r="BD120" s="85">
        <f t="shared" si="336"/>
        <v>3.4705666400366861</v>
      </c>
      <c r="BE120" s="85">
        <f>BB120+BC120+BD120+B120-AU120</f>
        <v>99.999999999999986</v>
      </c>
      <c r="BF120" s="84">
        <f t="shared" ref="BF120:BH123" si="337">AR120*100/(100-$B120)</f>
        <v>57.128798091600039</v>
      </c>
      <c r="BG120" s="85">
        <f t="shared" si="337"/>
        <v>0.24938361311157689</v>
      </c>
      <c r="BH120" s="85">
        <f t="shared" si="337"/>
        <v>14.14503853568864</v>
      </c>
      <c r="BI120" s="85">
        <f t="shared" ref="BI120:BJ123" si="338">BC120*100/(100-$B120)</f>
        <v>3.5952248645776175</v>
      </c>
      <c r="BJ120" s="85">
        <f t="shared" si="338"/>
        <v>3.574218990768987</v>
      </c>
      <c r="BK120" s="85">
        <f t="shared" ref="BK120:BP123" si="339">AV120*100/(100-$B120)</f>
        <v>0.14963016786694616</v>
      </c>
      <c r="BL120" s="85">
        <f t="shared" si="339"/>
        <v>8.7583524924785827</v>
      </c>
      <c r="BM120" s="85">
        <f t="shared" si="339"/>
        <v>10.075097969707707</v>
      </c>
      <c r="BN120" s="85">
        <f t="shared" si="339"/>
        <v>2.0449456275149305</v>
      </c>
      <c r="BO120" s="85">
        <f t="shared" si="339"/>
        <v>0.27930964668496622</v>
      </c>
      <c r="BP120" s="85">
        <f t="shared" si="339"/>
        <v>0</v>
      </c>
      <c r="BQ120" s="85">
        <f>SUM(BF120:BP120)</f>
        <v>99.999999999999986</v>
      </c>
      <c r="BR120" s="85"/>
      <c r="BS120" s="82">
        <f>AR120/Weights!$B$5*2+AS120/Weights!$B$7*2+AT120/Weights!$B$8*3+'Data and calc.'!BC120/Weights!$B$20*3+'Data and calc.'!BD120/Weights!$B$10+'Data and calc.'!AV120/Weights!$B$11+'Data and calc.'!AW120/Weights!$B$13+'Data and calc.'!AX120/Weights!$B$14+'Data and calc.'!AY120/Weights!$B$15+AZ120/Weights!$B$16+B120/Weights!$B$19+'Data and calc.'!BA120/Weights!$B$6*5</f>
        <v>2.953995532978678</v>
      </c>
      <c r="BT120" s="84">
        <f>AR120/Weights!$B$5*8/'Data and calc.'!$BS120</f>
        <v>2.5003618310669276</v>
      </c>
      <c r="BU120" s="85">
        <f>AS120/Weights!$B$7*8/'Data and calc.'!$BS120</f>
        <v>8.211278825229585E-3</v>
      </c>
      <c r="BV120" s="85">
        <f>AT120/Weights!$B$8*8/'Data and calc.'!$BS120*2</f>
        <v>0.7296311357854548</v>
      </c>
      <c r="BW120" s="85">
        <f>BC120/Weights!$B$20*8/'Data and calc.'!$BS120*2</f>
        <v>0.11840931671353115</v>
      </c>
      <c r="BX120" s="85">
        <f>BD120/Weights!$B$10*8/'Data and calc.'!$BS120</f>
        <v>0.13082478704668665</v>
      </c>
      <c r="BY120" s="85">
        <f>AV120/Weights!$B$11*8/'Data and calc.'!$BS120</f>
        <v>5.5468377005697695E-3</v>
      </c>
      <c r="BZ120" s="85">
        <f>AW120/Weights!$B$13*8/'Data and calc.'!$BS120</f>
        <v>0.5714439676508255</v>
      </c>
      <c r="CA120" s="85">
        <f>AX120/Weights!$B$14*8/'Data and calc.'!$BS120</f>
        <v>0.4724587415237837</v>
      </c>
      <c r="CB120" s="85">
        <f>AY120/Weights!$B$15*8/'Data and calc.'!$BS120*2</f>
        <v>0.17352810016600298</v>
      </c>
      <c r="CC120" s="85">
        <f>AZ120/Weights!$B$16*8/'Data and calc.'!$BS120*2</f>
        <v>1.5594975505908902E-2</v>
      </c>
      <c r="CD120" s="85">
        <f>BA120/Weights!$B$6*8/'Data and calc.'!$BS120*2</f>
        <v>0</v>
      </c>
      <c r="CE120" s="85">
        <f>B120/Weights!$B$19*8/'Data and calc.'!$BS120*2</f>
        <v>0.87191445941876777</v>
      </c>
      <c r="CF120" s="85">
        <f>SUM(BT120:BW120)*4</f>
        <v>13.426454249564573</v>
      </c>
      <c r="CG120" s="85">
        <f>(16-CF120)/SUM(BT120:BW120)</f>
        <v>0.76670897694940965</v>
      </c>
      <c r="CH120" s="85"/>
      <c r="CI120" s="85">
        <f>AR120/Weights!$B$5*2+AS120/Weights!$B$7*2+AT120/Weights!$B$8*3+'Data and calc.'!BC120/Weights!$B$20*3+'Data and calc.'!BD120/Weights!$B$10+'Data and calc.'!AV120/Weights!$B$11+'Data and calc.'!AW120/Weights!$B$13+'Data and calc.'!AX120/Weights!$B$14+'Data and calc.'!AY120/Weights!$B$15+AZ120/Weights!$B$16+'Data and calc.'!BA120/Weights!$B$6*5</f>
        <v>2.793018569337268</v>
      </c>
      <c r="CJ120" s="84">
        <f>AR120/Weights!$B$5*8/'Data and calc.'!$CI120</f>
        <v>2.6444713833587823</v>
      </c>
      <c r="CK120" s="85">
        <f>AS120/Weights!$B$7*8/'Data and calc.'!$CI120</f>
        <v>8.6845398151169928E-3</v>
      </c>
      <c r="CL120" s="85">
        <f>AT120/Weights!$B$8*8/'Data and calc.'!$CI120*2</f>
        <v>0.77168377593129012</v>
      </c>
      <c r="CM120" s="85">
        <f>BC120/Weights!$B$20*8/'Data and calc.'!$CI120*2</f>
        <v>0.12523389442334606</v>
      </c>
      <c r="CN120" s="85">
        <f>BD120/Weights!$B$10*8/'Data and calc.'!$CI120</f>
        <v>0.13836493633857153</v>
      </c>
      <c r="CO120" s="85">
        <f>AV120/Weights!$B$11*8/'Data and calc.'!$CI120</f>
        <v>5.8665323494532864E-3</v>
      </c>
      <c r="CP120" s="85">
        <f>AW120/Weights!$B$13*8/'Data and calc.'!$CI120</f>
        <v>0.60437941455888433</v>
      </c>
      <c r="CQ120" s="85">
        <f>AX120/Weights!$B$14*8/'Data and calc.'!$CI120</f>
        <v>0.49968912749088701</v>
      </c>
      <c r="CR120" s="85">
        <f>AY120/Weights!$B$15*8/'Data and calc.'!$CI120*2</f>
        <v>0.18352947537268979</v>
      </c>
      <c r="CS120" s="85">
        <f>AZ120/Weights!$B$16*8/'Data and calc.'!$CI120*2</f>
        <v>1.6493799392210188E-2</v>
      </c>
      <c r="CT120" s="85">
        <f>BA120/Weights!$B$6*8/'Data and calc.'!$CI120*2</f>
        <v>0</v>
      </c>
      <c r="CU120" s="85">
        <f>CJ120*2+CK120*2+CL120*1.5+CM120*1.5+CN120+CO120+CP120+CQ120+CR120*0.5+CS120*0.5+CT120*2.5</f>
        <v>8.0000000000000018</v>
      </c>
      <c r="CV120" s="85">
        <f>SUM(CJ120:CM120)*4</f>
        <v>14.200294374114144</v>
      </c>
      <c r="CW120" s="85">
        <f>(16-CV120)/SUM(CJ120:CM120)</f>
        <v>0.50694882189669466</v>
      </c>
      <c r="CX120" s="113"/>
      <c r="CY120" s="90">
        <f t="shared" ref="CY120:CY123" si="340">$CZ$2*G120+$DB$2</f>
        <v>3.5550841107103201E-2</v>
      </c>
      <c r="CZ120" s="91">
        <f>100*CY120/(1+CY120)</f>
        <v>3.4330367661230361</v>
      </c>
      <c r="DA120" s="85">
        <f>CZ120-B120</f>
        <v>0.53303676612303619</v>
      </c>
      <c r="DB120" s="85">
        <f t="shared" si="318"/>
        <v>0.53303676612303619</v>
      </c>
      <c r="DC120" s="85"/>
      <c r="DD120" s="117"/>
      <c r="DE120" s="97"/>
      <c r="DF120" s="91">
        <f t="shared" ref="DF120:DF123" si="341">$DF$2*G120^2 + $DH$2*G120 +$DJ$2</f>
        <v>3.4468398847094259</v>
      </c>
      <c r="DG120" s="85">
        <f>DF120-B120</f>
        <v>0.54683988470942602</v>
      </c>
      <c r="DH120" s="85">
        <f t="shared" ref="DH120:DH123" si="342">ABS(DG120)</f>
        <v>0.54683988470942602</v>
      </c>
      <c r="DI120" s="85">
        <f t="shared" ref="DI120:DI123" si="343">DG120^2</f>
        <v>0.29903385950901834</v>
      </c>
      <c r="DJ120" s="85"/>
      <c r="DK120" s="117"/>
      <c r="DL120" s="99">
        <f>'Eq. 3 coef.'!$B$15+'Eq. 3 coef.'!$B$16*'Data and calc.'!G120^2+'Eq. 3 coef.'!$B$17*'Data and calc.'!G120+'Eq. 3 coef.'!$B$18*'Data and calc.'!BF120+'Eq. 3 coef.'!$B$19*'Data and calc.'!BG120+'Eq. 3 coef.'!$B$20*'Data and calc.'!BH120+'Eq. 3 coef.'!$B$21*'Data and calc.'!BI120+'Eq. 3 coef.'!$B$22*'Data and calc.'!BJ120+'Eq. 3 coef.'!$B$23*'Data and calc.'!BK120+'Eq. 3 coef.'!$B$24*'Data and calc.'!BL120+'Eq. 3 coef.'!$B$25*'Data and calc.'!BM120+'Eq. 3 coef.'!$B$26*'Data and calc.'!BN120+'Eq. 3 coef.'!$B$27*'Data and calc.'!BO120+'Eq. 3 coef.'!$B$28*'Data and calc.'!BP120</f>
        <v>3.5067461073640516</v>
      </c>
      <c r="DM120" s="85">
        <f>DL120-B120</f>
        <v>0.60674610736405166</v>
      </c>
      <c r="DN120" s="85">
        <f t="shared" ref="DN120:DN123" si="344">ABS(DM120)</f>
        <v>0.60674610736405166</v>
      </c>
      <c r="DO120" s="85"/>
      <c r="DP120" s="117"/>
      <c r="DQ120" s="99">
        <f>'Eq. 4 coef.'!$B$15+'Eq. 4 coef.'!$B$16*'Data and calc.'!G120^2+'Eq. 4 coef.'!$B$17*'Data and calc.'!G120+'Eq. 4 coef.'!$B$18*'Data and calc.'!O120+'Eq. 4 coef.'!$B$19*'Data and calc.'!P120+'Eq. 4 coef.'!$B$20*'Data and calc.'!Q120+'Eq. 4 coef.'!$B$21*'Data and calc.'!R120+'Eq. 4 coef.'!$B$22*'Data and calc.'!S120+'Eq. 4 coef.'!$B$23*'Data and calc.'!T120+'Eq. 4 coef.'!$B$24*'Data and calc.'!U120+'Eq. 4 coef.'!$B$25*'Data and calc.'!V120+'Eq. 4 coef.'!$B$26*'Data and calc.'!W120+'Eq. 4 coef.'!$B$27*'Data and calc.'!X120</f>
        <v>3.4687508296492524</v>
      </c>
      <c r="DR120" s="85">
        <f>DQ120-B120</f>
        <v>0.5687508296492525</v>
      </c>
      <c r="DS120" s="94">
        <f t="shared" ref="DS120:DS123" si="345">ABS(DR120)</f>
        <v>0.5687508296492525</v>
      </c>
      <c r="DT120" s="85"/>
    </row>
    <row r="121" spans="1:124" ht="15" x14ac:dyDescent="0.2">
      <c r="A121" s="145" t="s">
        <v>616</v>
      </c>
      <c r="B121" s="73">
        <v>3.9</v>
      </c>
      <c r="C121" s="73"/>
      <c r="D121" s="127"/>
      <c r="E121" s="72">
        <f>B121/(100-B121)</f>
        <v>4.0582726326742979E-2</v>
      </c>
      <c r="F121" s="64">
        <f t="shared" si="333"/>
        <v>29.958179302565853</v>
      </c>
      <c r="G121" s="73">
        <v>5.4734065537438248</v>
      </c>
      <c r="H121" s="73">
        <v>0.18415164678088572</v>
      </c>
      <c r="I121" s="126">
        <f>H121*100/G121</f>
        <v>3.3644795973528678</v>
      </c>
      <c r="J121" s="74">
        <v>1250</v>
      </c>
      <c r="K121" s="74">
        <v>200</v>
      </c>
      <c r="L121" s="73">
        <v>0.71932153404784738</v>
      </c>
      <c r="M121" s="70">
        <v>2.2999999999999998</v>
      </c>
      <c r="N121" s="64">
        <f>M121+2*LOG(L121)</f>
        <v>2.0138461235993934</v>
      </c>
      <c r="O121" s="76">
        <v>57.333066373010318</v>
      </c>
      <c r="P121" s="73">
        <v>0.25027530283311644</v>
      </c>
      <c r="Q121" s="73">
        <v>14.195615176694364</v>
      </c>
      <c r="R121" s="73">
        <v>6.8375212734007418</v>
      </c>
      <c r="S121" s="73">
        <v>0.15016518169986987</v>
      </c>
      <c r="T121" s="73">
        <v>8.7896686354990496</v>
      </c>
      <c r="U121" s="73">
        <v>10.111122234457905</v>
      </c>
      <c r="V121" s="73">
        <v>2.0522574832315548</v>
      </c>
      <c r="W121" s="73">
        <v>0.28030833917309045</v>
      </c>
      <c r="X121" s="73">
        <v>0</v>
      </c>
      <c r="Y121" s="73">
        <f>SUM(O121:X121)</f>
        <v>100.00000000000003</v>
      </c>
      <c r="Z121" s="73">
        <v>2.3325658224046451</v>
      </c>
      <c r="AA121" s="73">
        <v>1.0176335755121155</v>
      </c>
      <c r="AB121" s="59">
        <f>(R121-AC121)*1.11</f>
        <v>3.6300805478461835</v>
      </c>
      <c r="AC121" s="60">
        <f>R121*1.11/(AA121+1.11)</f>
        <v>3.5671784375032796</v>
      </c>
      <c r="AD121" s="57">
        <f>100-R121+AB121+AC121</f>
        <v>100.35973771194871</v>
      </c>
      <c r="AE121" s="57"/>
      <c r="AF121" s="57">
        <f t="shared" si="334"/>
        <v>55.097076784462914</v>
      </c>
      <c r="AG121" s="57">
        <f t="shared" si="334"/>
        <v>0.24051456602262486</v>
      </c>
      <c r="AH121" s="57">
        <f t="shared" si="334"/>
        <v>13.641986184803283</v>
      </c>
      <c r="AI121" s="57">
        <f t="shared" si="334"/>
        <v>6.5708579437381127</v>
      </c>
      <c r="AJ121" s="57">
        <f t="shared" si="334"/>
        <v>0.14430873961357493</v>
      </c>
      <c r="AK121" s="57">
        <f t="shared" si="334"/>
        <v>8.4468715587145855</v>
      </c>
      <c r="AL121" s="57">
        <f t="shared" si="334"/>
        <v>9.7167884673140463</v>
      </c>
      <c r="AM121" s="57">
        <f t="shared" si="334"/>
        <v>1.9722194413855241</v>
      </c>
      <c r="AN121" s="57">
        <f t="shared" si="334"/>
        <v>0.2693763139453399</v>
      </c>
      <c r="AO121" s="57">
        <f t="shared" si="334"/>
        <v>0</v>
      </c>
      <c r="AP121" s="57">
        <f>SUM(AF121:AO121)</f>
        <v>96.100000000000023</v>
      </c>
      <c r="AQ121" s="57"/>
      <c r="AR121" s="84">
        <f t="shared" si="335"/>
        <v>54.899582283287614</v>
      </c>
      <c r="AS121" s="85">
        <f t="shared" si="335"/>
        <v>0.23965244579748388</v>
      </c>
      <c r="AT121" s="85">
        <f t="shared" si="335"/>
        <v>13.593086725633286</v>
      </c>
      <c r="AU121" s="85">
        <f t="shared" si="335"/>
        <v>6.5473048191872607</v>
      </c>
      <c r="AV121" s="85">
        <f t="shared" si="335"/>
        <v>0.14379146747849034</v>
      </c>
      <c r="AW121" s="85">
        <f t="shared" si="335"/>
        <v>8.4165938964076332</v>
      </c>
      <c r="AX121" s="85">
        <f t="shared" si="335"/>
        <v>9.6819588102183509</v>
      </c>
      <c r="AY121" s="85">
        <f t="shared" si="335"/>
        <v>1.9651500555393679</v>
      </c>
      <c r="AZ121" s="85">
        <f t="shared" si="335"/>
        <v>0.26841073929318199</v>
      </c>
      <c r="BA121" s="85">
        <f t="shared" si="335"/>
        <v>0</v>
      </c>
      <c r="BB121" s="85">
        <f>SUM(AR121:BA121)</f>
        <v>95.755531242842679</v>
      </c>
      <c r="BC121" s="85">
        <f t="shared" si="336"/>
        <v>3.4760029131332058</v>
      </c>
      <c r="BD121" s="85">
        <f t="shared" si="336"/>
        <v>3.4157706632113998</v>
      </c>
      <c r="BE121" s="85">
        <f>BB121+BC121+BD121+B121-AU121</f>
        <v>100.00000000000003</v>
      </c>
      <c r="BF121" s="84">
        <f t="shared" si="337"/>
        <v>57.127557006542787</v>
      </c>
      <c r="BG121" s="85">
        <f t="shared" si="337"/>
        <v>0.24937819541881778</v>
      </c>
      <c r="BH121" s="85">
        <f t="shared" si="337"/>
        <v>14.144731244155345</v>
      </c>
      <c r="BI121" s="85">
        <f t="shared" si="338"/>
        <v>3.6170685880678519</v>
      </c>
      <c r="BJ121" s="85">
        <f t="shared" si="338"/>
        <v>3.5543919492314253</v>
      </c>
      <c r="BK121" s="85">
        <f t="shared" si="339"/>
        <v>0.14962691725129068</v>
      </c>
      <c r="BL121" s="85">
        <f t="shared" si="339"/>
        <v>8.7581622231088794</v>
      </c>
      <c r="BM121" s="85">
        <f t="shared" si="339"/>
        <v>10.074879094920242</v>
      </c>
      <c r="BN121" s="85">
        <f t="shared" si="339"/>
        <v>2.0449012024343061</v>
      </c>
      <c r="BO121" s="85">
        <f t="shared" si="339"/>
        <v>0.27930357886907597</v>
      </c>
      <c r="BP121" s="85">
        <f t="shared" si="339"/>
        <v>0</v>
      </c>
      <c r="BQ121" s="85">
        <f>SUM(BF121:BP121)</f>
        <v>100.00000000000004</v>
      </c>
      <c r="BR121" s="85"/>
      <c r="BS121" s="82">
        <f>AR121/Weights!$B$5*2+AS121/Weights!$B$7*2+AT121/Weights!$B$8*3+'Data and calc.'!BC121/Weights!$B$20*3+'Data and calc.'!BD121/Weights!$B$10+'Data and calc.'!AV121/Weights!$B$11+'Data and calc.'!AW121/Weights!$B$13+'Data and calc.'!AX121/Weights!$B$14+'Data and calc.'!AY121/Weights!$B$15+AZ121/Weights!$B$16+B121/Weights!$B$19+'Data and calc.'!BA121/Weights!$B$6*5</f>
        <v>2.9808120335519082</v>
      </c>
      <c r="BT121" s="84">
        <f>AR121/Weights!$B$5*8/'Data and calc.'!$BS121</f>
        <v>2.4522956454084057</v>
      </c>
      <c r="BU121" s="85">
        <f>AS121/Weights!$B$7*8/'Data and calc.'!$BS121</f>
        <v>8.0534277303986584E-3</v>
      </c>
      <c r="BV121" s="85">
        <f>AT121/Weights!$B$8*8/'Data and calc.'!$BS121*2</f>
        <v>0.71560493157806748</v>
      </c>
      <c r="BW121" s="85">
        <f>BC121/Weights!$B$20*8/'Data and calc.'!$BS121*2</f>
        <v>0.11684118733646272</v>
      </c>
      <c r="BX121" s="85">
        <f>BD121/Weights!$B$10*8/'Data and calc.'!$BS121</f>
        <v>0.12760085846410515</v>
      </c>
      <c r="BY121" s="85">
        <f>AV121/Weights!$B$11*8/'Data and calc.'!$BS121</f>
        <v>5.4402070011963476E-3</v>
      </c>
      <c r="BZ121" s="85">
        <f>AW121/Weights!$B$13*8/'Data and calc.'!$BS121</f>
        <v>0.56045870483755211</v>
      </c>
      <c r="CA121" s="85">
        <f>AX121/Weights!$B$14*8/'Data and calc.'!$BS121</f>
        <v>0.4633763402073377</v>
      </c>
      <c r="CB121" s="85">
        <f>AY121/Weights!$B$15*8/'Data and calc.'!$BS121*2</f>
        <v>0.17019224941995692</v>
      </c>
      <c r="CC121" s="85">
        <f>AZ121/Weights!$B$16*8/'Data and calc.'!$BS121*2</f>
        <v>1.5295182500475259E-2</v>
      </c>
      <c r="CD121" s="85">
        <f>BA121/Weights!$B$6*8/'Data and calc.'!$BS121*2</f>
        <v>0</v>
      </c>
      <c r="CE121" s="85">
        <f>B121/Weights!$B$19*8/'Data and calc.'!$BS121*2</f>
        <v>1.1620256977603765</v>
      </c>
      <c r="CF121" s="85">
        <f>SUM(BT121:BW121)*4</f>
        <v>13.171180768213338</v>
      </c>
      <c r="CG121" s="85">
        <f>(16-CF121)/SUM(BT121:BW121)</f>
        <v>0.85909358669302949</v>
      </c>
      <c r="CH121" s="85"/>
      <c r="CI121" s="85">
        <f>AR121/Weights!$B$5*2+AS121/Weights!$B$7*2+AT121/Weights!$B$8*3+'Data and calc.'!BC121/Weights!$B$20*3+'Data and calc.'!BD121/Weights!$B$10+'Data and calc.'!AV121/Weights!$B$11+'Data and calc.'!AW121/Weights!$B$13+'Data and calc.'!AX121/Weights!$B$14+'Data and calc.'!AY121/Weights!$B$15+AZ121/Weights!$B$16+'Data and calc.'!BA121/Weights!$B$6*5</f>
        <v>2.7643257721031156</v>
      </c>
      <c r="CJ121" s="84">
        <f>AR121/Weights!$B$5*8/'Data and calc.'!$CI121</f>
        <v>2.644345483238379</v>
      </c>
      <c r="CK121" s="85">
        <f>AS121/Weights!$B$7*8/'Data and calc.'!$CI121</f>
        <v>8.6841263545610371E-3</v>
      </c>
      <c r="CL121" s="85">
        <f>AT121/Weights!$B$8*8/'Data and calc.'!$CI121*2</f>
        <v>0.77164703698946824</v>
      </c>
      <c r="CM121" s="85">
        <f>BC121/Weights!$B$20*8/'Data and calc.'!$CI121*2</f>
        <v>0.12599152413286158</v>
      </c>
      <c r="CN121" s="85">
        <f>BD121/Weights!$B$10*8/'Data and calc.'!$CI121</f>
        <v>0.13759383146508913</v>
      </c>
      <c r="CO121" s="85">
        <f>AV121/Weights!$B$11*8/'Data and calc.'!$CI121</f>
        <v>5.8662530508631055E-3</v>
      </c>
      <c r="CP121" s="85">
        <f>AW121/Weights!$B$13*8/'Data and calc.'!$CI121</f>
        <v>0.60435064077765088</v>
      </c>
      <c r="CQ121" s="85">
        <f>AX121/Weights!$B$14*8/'Data and calc.'!$CI121</f>
        <v>0.49966533788903655</v>
      </c>
      <c r="CR121" s="85">
        <f>AY121/Weights!$B$15*8/'Data and calc.'!$CI121*2</f>
        <v>0.18352073775382488</v>
      </c>
      <c r="CS121" s="85">
        <f>AZ121/Weights!$B$16*8/'Data and calc.'!$CI121*2</f>
        <v>1.6493014142143783E-2</v>
      </c>
      <c r="CT121" s="85">
        <f>BA121/Weights!$B$6*8/'Data and calc.'!$CI121*2</f>
        <v>0</v>
      </c>
      <c r="CU121" s="85">
        <f>CJ121*2+CK121*2+CL121*1.5+CM121*1.5+CN121+CO121+CP121+CQ121+CR121*0.5+CS121*0.5+CT121*2.5</f>
        <v>8</v>
      </c>
      <c r="CV121" s="85">
        <f>SUM(CJ121:CM121)*4</f>
        <v>14.202672682861079</v>
      </c>
      <c r="CW121" s="85">
        <f>(16-CV121)/SUM(CJ121:CM121)</f>
        <v>0.50619411072053377</v>
      </c>
      <c r="CX121" s="113"/>
      <c r="CY121" s="90">
        <f t="shared" si="340"/>
        <v>4.3456030427734327E-2</v>
      </c>
      <c r="CZ121" s="91">
        <f>100*CY121/(1+CY121)</f>
        <v>4.1646249732172036</v>
      </c>
      <c r="DA121" s="85">
        <f>CZ121-B121</f>
        <v>0.26462497321720369</v>
      </c>
      <c r="DB121" s="85">
        <f t="shared" si="318"/>
        <v>0.26462497321720369</v>
      </c>
      <c r="DC121" s="85"/>
      <c r="DD121" s="117"/>
      <c r="DE121" s="97"/>
      <c r="DF121" s="91">
        <f t="shared" si="341"/>
        <v>4.1777192851629206</v>
      </c>
      <c r="DG121" s="85">
        <f>DF121-B121</f>
        <v>0.27771928516292066</v>
      </c>
      <c r="DH121" s="85">
        <f t="shared" si="342"/>
        <v>0.27771928516292066</v>
      </c>
      <c r="DI121" s="85">
        <f t="shared" si="343"/>
        <v>7.7128001351403644E-2</v>
      </c>
      <c r="DJ121" s="85"/>
      <c r="DK121" s="117"/>
      <c r="DL121" s="99">
        <f>'Eq. 3 coef.'!$B$15+'Eq. 3 coef.'!$B$16*'Data and calc.'!G121^2+'Eq. 3 coef.'!$B$17*'Data and calc.'!G121+'Eq. 3 coef.'!$B$18*'Data and calc.'!BF121+'Eq. 3 coef.'!$B$19*'Data and calc.'!BG121+'Eq. 3 coef.'!$B$20*'Data and calc.'!BH121+'Eq. 3 coef.'!$B$21*'Data and calc.'!BI121+'Eq. 3 coef.'!$B$22*'Data and calc.'!BJ121+'Eq. 3 coef.'!$B$23*'Data and calc.'!BK121+'Eq. 3 coef.'!$B$24*'Data and calc.'!BL121+'Eq. 3 coef.'!$B$25*'Data and calc.'!BM121+'Eq. 3 coef.'!$B$26*'Data and calc.'!BN121+'Eq. 3 coef.'!$B$27*'Data and calc.'!BO121+'Eq. 3 coef.'!$B$28*'Data and calc.'!BP121</f>
        <v>4.2407703047733776</v>
      </c>
      <c r="DM121" s="85">
        <f>DL121-B121</f>
        <v>0.34077030477337766</v>
      </c>
      <c r="DN121" s="85">
        <f t="shared" si="344"/>
        <v>0.34077030477337766</v>
      </c>
      <c r="DO121" s="85"/>
      <c r="DP121" s="117"/>
      <c r="DQ121" s="99">
        <f>'Eq. 4 coef.'!$B$15+'Eq. 4 coef.'!$B$16*'Data and calc.'!G121^2+'Eq. 4 coef.'!$B$17*'Data and calc.'!G121+'Eq. 4 coef.'!$B$18*'Data and calc.'!O121+'Eq. 4 coef.'!$B$19*'Data and calc.'!P121+'Eq. 4 coef.'!$B$20*'Data and calc.'!Q121+'Eq. 4 coef.'!$B$21*'Data and calc.'!R121+'Eq. 4 coef.'!$B$22*'Data and calc.'!S121+'Eq. 4 coef.'!$B$23*'Data and calc.'!T121+'Eq. 4 coef.'!$B$24*'Data and calc.'!U121+'Eq. 4 coef.'!$B$25*'Data and calc.'!V121+'Eq. 4 coef.'!$B$26*'Data and calc.'!W121+'Eq. 4 coef.'!$B$27*'Data and calc.'!X121</f>
        <v>4.1888963838728159</v>
      </c>
      <c r="DR121" s="85">
        <f>DQ121-B121</f>
        <v>0.28889638387281602</v>
      </c>
      <c r="DS121" s="94">
        <f t="shared" si="345"/>
        <v>0.28889638387281602</v>
      </c>
      <c r="DT121" s="85"/>
    </row>
    <row r="122" spans="1:124" ht="15" x14ac:dyDescent="0.2">
      <c r="A122" s="145" t="s">
        <v>619</v>
      </c>
      <c r="B122" s="73">
        <v>3.1</v>
      </c>
      <c r="C122" s="73"/>
      <c r="D122" s="127"/>
      <c r="E122" s="72">
        <f>B122/(100-B122)</f>
        <v>3.1991744066047469E-2</v>
      </c>
      <c r="F122" s="64">
        <f t="shared" si="333"/>
        <v>17.444599080417682</v>
      </c>
      <c r="G122" s="73">
        <v>4.1766732072808477</v>
      </c>
      <c r="H122" s="73">
        <v>0.11381334459814148</v>
      </c>
      <c r="I122" s="126">
        <f>H122*100/G122</f>
        <v>2.7249760503105707</v>
      </c>
      <c r="J122" s="74">
        <v>1250</v>
      </c>
      <c r="K122" s="74">
        <v>200</v>
      </c>
      <c r="L122" s="73">
        <v>0.52036109167741218</v>
      </c>
      <c r="M122" s="70">
        <v>2.2999999999999998</v>
      </c>
      <c r="N122" s="64">
        <f>M122+2*LOG(L122)</f>
        <v>1.7326096322682645</v>
      </c>
      <c r="O122" s="76">
        <v>61.222855999199446</v>
      </c>
      <c r="P122" s="73">
        <v>0.18012608826178328</v>
      </c>
      <c r="Q122" s="73">
        <v>12.678875212648856</v>
      </c>
      <c r="R122" s="73">
        <v>7.1149804863404391</v>
      </c>
      <c r="S122" s="73">
        <v>0.12008405884118885</v>
      </c>
      <c r="T122" s="73">
        <v>7.8254778344841398</v>
      </c>
      <c r="U122" s="73">
        <v>8.175723006104274</v>
      </c>
      <c r="V122" s="73">
        <v>2.1915340738516966</v>
      </c>
      <c r="W122" s="73">
        <v>0.49034324026818782</v>
      </c>
      <c r="X122" s="73">
        <v>0</v>
      </c>
      <c r="Y122" s="73">
        <f>SUM(O122:X122)</f>
        <v>100.00000000000001</v>
      </c>
      <c r="Z122" s="73">
        <v>2.6818773141198844</v>
      </c>
      <c r="AA122" s="73">
        <v>0.88734123430135459</v>
      </c>
      <c r="AB122" s="59">
        <f>(R122-AC122)*1.11</f>
        <v>3.508609925422375</v>
      </c>
      <c r="AC122" s="60">
        <f>R122*1.11/(AA122+1.11)</f>
        <v>3.954070643617579</v>
      </c>
      <c r="AD122" s="57">
        <f>100-R122+AB122+AC122</f>
        <v>100.34770008269952</v>
      </c>
      <c r="AE122" s="57"/>
      <c r="AF122" s="57">
        <f t="shared" si="334"/>
        <v>59.324947463224269</v>
      </c>
      <c r="AG122" s="57">
        <f t="shared" si="334"/>
        <v>0.174542179525668</v>
      </c>
      <c r="AH122" s="57">
        <f t="shared" si="334"/>
        <v>12.285830081056742</v>
      </c>
      <c r="AI122" s="57">
        <f t="shared" si="334"/>
        <v>6.8944160912638859</v>
      </c>
      <c r="AJ122" s="57">
        <f t="shared" si="334"/>
        <v>0.11636145301711201</v>
      </c>
      <c r="AK122" s="57">
        <f t="shared" si="334"/>
        <v>7.5828880216151324</v>
      </c>
      <c r="AL122" s="57">
        <f t="shared" si="334"/>
        <v>7.9222755929150424</v>
      </c>
      <c r="AM122" s="57">
        <f t="shared" si="334"/>
        <v>2.1235965175622944</v>
      </c>
      <c r="AN122" s="57">
        <f t="shared" si="334"/>
        <v>0.475142599819874</v>
      </c>
      <c r="AO122" s="57">
        <f t="shared" si="334"/>
        <v>0</v>
      </c>
      <c r="AP122" s="57">
        <f>SUM(AF122:AO122)</f>
        <v>96.90000000000002</v>
      </c>
      <c r="AQ122" s="57"/>
      <c r="AR122" s="84">
        <f t="shared" si="335"/>
        <v>59.119389297744561</v>
      </c>
      <c r="AS122" s="85">
        <f t="shared" si="335"/>
        <v>0.17393739904534197</v>
      </c>
      <c r="AT122" s="85">
        <f t="shared" si="335"/>
        <v>12.243260255024904</v>
      </c>
      <c r="AU122" s="85">
        <f t="shared" si="335"/>
        <v>6.8705272622910067</v>
      </c>
      <c r="AV122" s="85">
        <f t="shared" si="335"/>
        <v>0.11595826603022798</v>
      </c>
      <c r="AW122" s="85">
        <f t="shared" si="335"/>
        <v>7.5566136696365227</v>
      </c>
      <c r="AX122" s="85">
        <f t="shared" si="335"/>
        <v>7.8948252788913544</v>
      </c>
      <c r="AY122" s="85">
        <f t="shared" si="335"/>
        <v>2.1162383550516606</v>
      </c>
      <c r="AZ122" s="85">
        <f t="shared" si="335"/>
        <v>0.47349625295676423</v>
      </c>
      <c r="BA122" s="85">
        <f t="shared" si="335"/>
        <v>0</v>
      </c>
      <c r="BB122" s="85">
        <f>SUM(AR122:BA122)</f>
        <v>96.564246036672358</v>
      </c>
      <c r="BC122" s="85">
        <f t="shared" si="336"/>
        <v>3.388062720851968</v>
      </c>
      <c r="BD122" s="85">
        <f t="shared" si="336"/>
        <v>3.8182185047667123</v>
      </c>
      <c r="BE122" s="85">
        <f>BB122+BC122+BD122+B122-AU122</f>
        <v>100.00000000000003</v>
      </c>
      <c r="BF122" s="84">
        <f t="shared" si="337"/>
        <v>61.010721669499034</v>
      </c>
      <c r="BG122" s="85">
        <f t="shared" si="337"/>
        <v>0.17950195979911451</v>
      </c>
      <c r="BH122" s="85">
        <f t="shared" si="337"/>
        <v>12.634943503637672</v>
      </c>
      <c r="BI122" s="85">
        <f t="shared" si="338"/>
        <v>3.4964527562971801</v>
      </c>
      <c r="BJ122" s="85">
        <f t="shared" si="338"/>
        <v>3.9403699739594549</v>
      </c>
      <c r="BK122" s="85">
        <f t="shared" si="339"/>
        <v>0.11966797319940968</v>
      </c>
      <c r="BL122" s="85">
        <f t="shared" si="339"/>
        <v>7.7983629201615301</v>
      </c>
      <c r="BM122" s="85">
        <f t="shared" si="339"/>
        <v>8.1473945086598079</v>
      </c>
      <c r="BN122" s="85">
        <f t="shared" si="339"/>
        <v>2.1839405108892262</v>
      </c>
      <c r="BO122" s="85">
        <f t="shared" si="339"/>
        <v>0.48864422389758949</v>
      </c>
      <c r="BP122" s="85">
        <f t="shared" si="339"/>
        <v>0</v>
      </c>
      <c r="BQ122" s="85">
        <f>SUM(BF122:BP122)</f>
        <v>100</v>
      </c>
      <c r="BR122" s="85"/>
      <c r="BS122" s="82">
        <f>AR122/Weights!$B$5*2+AS122/Weights!$B$7*2+AT122/Weights!$B$8*3+'Data and calc.'!BC122/Weights!$B$20*3+'Data and calc.'!BD122/Weights!$B$10+'Data and calc.'!AV122/Weights!$B$11+'Data and calc.'!AW122/Weights!$B$13+'Data and calc.'!AX122/Weights!$B$14+'Data and calc.'!AY122/Weights!$B$15+AZ122/Weights!$B$16+B122/Weights!$B$19+'Data and calc.'!BA122/Weights!$B$6*5</f>
        <v>2.9904741178911101</v>
      </c>
      <c r="BT122" s="84">
        <f>AR122/Weights!$B$5*8/'Data and calc.'!$BS122</f>
        <v>2.632256876277713</v>
      </c>
      <c r="BU122" s="85">
        <f>AS122/Weights!$B$7*8/'Data and calc.'!$BS122</f>
        <v>5.8262137603878024E-3</v>
      </c>
      <c r="BV122" s="85">
        <f>AT122/Weights!$B$8*8/'Data and calc.'!$BS122*2</f>
        <v>0.64246113595167476</v>
      </c>
      <c r="BW122" s="85">
        <f>BC122/Weights!$B$20*8/'Data and calc.'!$BS122*2</f>
        <v>0.11351723760052371</v>
      </c>
      <c r="BX122" s="85">
        <f>BD122/Weights!$B$10*8/'Data and calc.'!$BS122</f>
        <v>0.14217401002177732</v>
      </c>
      <c r="BY122" s="85">
        <f>AV122/Weights!$B$11*8/'Data and calc.'!$BS122</f>
        <v>4.372990807392273E-3</v>
      </c>
      <c r="BZ122" s="85">
        <f>AW122/Weights!$B$13*8/'Data and calc.'!$BS122</f>
        <v>0.5015670618069018</v>
      </c>
      <c r="CA122" s="85">
        <f>AX122/Weights!$B$14*8/'Data and calc.'!$BS122</f>
        <v>0.37662373872061305</v>
      </c>
      <c r="CB122" s="85">
        <f>AY122/Weights!$B$15*8/'Data and calc.'!$BS122*2</f>
        <v>0.18268512409432833</v>
      </c>
      <c r="CC122" s="85">
        <f>AZ122/Weights!$B$16*8/'Data and calc.'!$BS122*2</f>
        <v>2.6894647988624162E-2</v>
      </c>
      <c r="CD122" s="85">
        <f>BA122/Weights!$B$6*8/'Data and calc.'!$BS122*2</f>
        <v>0</v>
      </c>
      <c r="CE122" s="85">
        <f>B122/Weights!$B$19*8/'Data and calc.'!$BS122*2</f>
        <v>0.92067714439467896</v>
      </c>
      <c r="CF122" s="85">
        <f>SUM(BT122:BW122)*4</f>
        <v>13.576245854361197</v>
      </c>
      <c r="CG122" s="85">
        <f>(16-CF122)/SUM(BT122:BW122)</f>
        <v>0.71411616190206295</v>
      </c>
      <c r="CH122" s="85"/>
      <c r="CI122" s="85">
        <f>AR122/Weights!$B$5*2+AS122/Weights!$B$7*2+AT122/Weights!$B$8*3+'Data and calc.'!BC122/Weights!$B$20*3+'Data and calc.'!BD122/Weights!$B$10+'Data and calc.'!AV122/Weights!$B$11+'Data and calc.'!AW122/Weights!$B$13+'Data and calc.'!AX122/Weights!$B$14+'Data and calc.'!AY122/Weights!$B$15+AZ122/Weights!$B$16+'Data and calc.'!BA122/Weights!$B$6*5</f>
        <v>2.8183952946882234</v>
      </c>
      <c r="CJ122" s="84">
        <f>AR122/Weights!$B$5*8/'Data and calc.'!$CI122</f>
        <v>2.7929709061695638</v>
      </c>
      <c r="CK122" s="85">
        <f>AS122/Weights!$B$7*8/'Data and calc.'!$CI122</f>
        <v>6.1819367526541888E-3</v>
      </c>
      <c r="CL122" s="85">
        <f>AT122/Weights!$B$8*8/'Data and calc.'!$CI122*2</f>
        <v>0.68168698778179704</v>
      </c>
      <c r="CM122" s="85">
        <f>BC122/Weights!$B$20*8/'Data and calc.'!$CI122*2</f>
        <v>0.12044810095257223</v>
      </c>
      <c r="CN122" s="85">
        <f>BD122/Weights!$B$10*8/'Data and calc.'!$CI122</f>
        <v>0.15085452988380371</v>
      </c>
      <c r="CO122" s="85">
        <f>AV122/Weights!$B$11*8/'Data and calc.'!$CI122</f>
        <v>4.6399863964891345E-3</v>
      </c>
      <c r="CP122" s="85">
        <f>AW122/Weights!$B$13*8/'Data and calc.'!$CI122</f>
        <v>0.53219054103131236</v>
      </c>
      <c r="CQ122" s="85">
        <f>AX122/Weights!$B$14*8/'Data and calc.'!$CI122</f>
        <v>0.39961872805779325</v>
      </c>
      <c r="CR122" s="85">
        <f>AY122/Weights!$B$15*8/'Data and calc.'!$CI122*2</f>
        <v>0.19383907443978649</v>
      </c>
      <c r="CS122" s="85">
        <f>AZ122/Weights!$B$16*8/'Data and calc.'!$CI122*2</f>
        <v>2.8536716929436205E-2</v>
      </c>
      <c r="CT122" s="85">
        <f>BA122/Weights!$B$6*8/'Data and calc.'!$CI122*2</f>
        <v>0</v>
      </c>
      <c r="CU122" s="85">
        <f>CJ122*2+CK122*2+CL122*1.5+CM122*1.5+CN122+CO122+CP122+CQ122+CR122*0.5+CS122*0.5+CT122*2.5</f>
        <v>7.9999999999999982</v>
      </c>
      <c r="CV122" s="85">
        <f>SUM(CJ122:CM122)*4</f>
        <v>14.40515172662635</v>
      </c>
      <c r="CW122" s="85">
        <f>(16-CV122)/SUM(CJ122:CM122)</f>
        <v>0.44285497400926277</v>
      </c>
      <c r="CX122" s="113"/>
      <c r="CY122" s="90">
        <f t="shared" si="340"/>
        <v>3.2291156314688096E-2</v>
      </c>
      <c r="CZ122" s="91">
        <f>100*CY122/(1+CY122)</f>
        <v>3.1281054881811197</v>
      </c>
      <c r="DA122" s="85">
        <f>CZ122-B122</f>
        <v>2.8105488181119576E-2</v>
      </c>
      <c r="DB122" s="85">
        <f t="shared" si="318"/>
        <v>2.8105488181119576E-2</v>
      </c>
      <c r="DC122" s="85"/>
      <c r="DD122" s="117"/>
      <c r="DE122" s="97"/>
      <c r="DF122" s="91">
        <f t="shared" si="341"/>
        <v>3.1412366732901513</v>
      </c>
      <c r="DG122" s="85">
        <f>DF122-B122</f>
        <v>4.1236673290151238E-2</v>
      </c>
      <c r="DH122" s="85">
        <f t="shared" si="342"/>
        <v>4.1236673290151238E-2</v>
      </c>
      <c r="DI122" s="85">
        <f t="shared" si="343"/>
        <v>1.7004632240386725E-3</v>
      </c>
      <c r="DJ122" s="85"/>
      <c r="DK122" s="117"/>
      <c r="DL122" s="99">
        <f>'Eq. 3 coef.'!$B$15+'Eq. 3 coef.'!$B$16*'Data and calc.'!G122^2+'Eq. 3 coef.'!$B$17*'Data and calc.'!G122+'Eq. 3 coef.'!$B$18*'Data and calc.'!BF122+'Eq. 3 coef.'!$B$19*'Data and calc.'!BG122+'Eq. 3 coef.'!$B$20*'Data and calc.'!BH122+'Eq. 3 coef.'!$B$21*'Data and calc.'!BI122+'Eq. 3 coef.'!$B$22*'Data and calc.'!BJ122+'Eq. 3 coef.'!$B$23*'Data and calc.'!BK122+'Eq. 3 coef.'!$B$24*'Data and calc.'!BL122+'Eq. 3 coef.'!$B$25*'Data and calc.'!BM122+'Eq. 3 coef.'!$B$26*'Data and calc.'!BN122+'Eq. 3 coef.'!$B$27*'Data and calc.'!BO122+'Eq. 3 coef.'!$B$28*'Data and calc.'!BP122</f>
        <v>3.1805693919459372</v>
      </c>
      <c r="DM122" s="85">
        <f>DL122-B122</f>
        <v>8.0569391945937152E-2</v>
      </c>
      <c r="DN122" s="85">
        <f t="shared" si="344"/>
        <v>8.0569391945937152E-2</v>
      </c>
      <c r="DO122" s="85"/>
      <c r="DP122" s="117"/>
      <c r="DQ122" s="99">
        <f>'Eq. 4 coef.'!$B$15+'Eq. 4 coef.'!$B$16*'Data and calc.'!G122^2+'Eq. 4 coef.'!$B$17*'Data and calc.'!G122+'Eq. 4 coef.'!$B$18*'Data and calc.'!O122+'Eq. 4 coef.'!$B$19*'Data and calc.'!P122+'Eq. 4 coef.'!$B$20*'Data and calc.'!Q122+'Eq. 4 coef.'!$B$21*'Data and calc.'!R122+'Eq. 4 coef.'!$B$22*'Data and calc.'!S122+'Eq. 4 coef.'!$B$23*'Data and calc.'!T122+'Eq. 4 coef.'!$B$24*'Data and calc.'!U122+'Eq. 4 coef.'!$B$25*'Data and calc.'!V122+'Eq. 4 coef.'!$B$26*'Data and calc.'!W122+'Eq. 4 coef.'!$B$27*'Data and calc.'!X122</f>
        <v>3.1348743906305572</v>
      </c>
      <c r="DR122" s="85">
        <f>DQ122-B122</f>
        <v>3.4874390630557084E-2</v>
      </c>
      <c r="DS122" s="94">
        <f t="shared" si="345"/>
        <v>3.4874390630557084E-2</v>
      </c>
      <c r="DT122" s="85"/>
    </row>
    <row r="123" spans="1:124" ht="15" x14ac:dyDescent="0.2">
      <c r="A123" s="145" t="s">
        <v>620</v>
      </c>
      <c r="B123" s="73">
        <v>3.9</v>
      </c>
      <c r="C123" s="73"/>
      <c r="D123" s="127"/>
      <c r="E123" s="72">
        <f>B123/(100-B123)</f>
        <v>4.0582726326742979E-2</v>
      </c>
      <c r="F123" s="64">
        <f t="shared" si="333"/>
        <v>26.963137993183576</v>
      </c>
      <c r="G123" s="73">
        <v>5.1926041629594275</v>
      </c>
      <c r="H123" s="73">
        <v>1.0012894439926432E-2</v>
      </c>
      <c r="I123" s="126">
        <f>H123*100/G123</f>
        <v>0.1928299197414611</v>
      </c>
      <c r="J123" s="74">
        <v>1250</v>
      </c>
      <c r="K123" s="74">
        <v>200</v>
      </c>
      <c r="L123" s="73">
        <v>0.6505845888209566</v>
      </c>
      <c r="M123" s="70">
        <v>2.2999999999999998</v>
      </c>
      <c r="N123" s="64">
        <f>M123+2*LOG(L123)</f>
        <v>1.9266075428246849</v>
      </c>
      <c r="O123" s="76">
        <v>61.222855999199446</v>
      </c>
      <c r="P123" s="73">
        <v>0.18012608826178328</v>
      </c>
      <c r="Q123" s="73">
        <v>12.678875212648856</v>
      </c>
      <c r="R123" s="73">
        <v>7.1149804863404391</v>
      </c>
      <c r="S123" s="73">
        <v>0.12008405884118885</v>
      </c>
      <c r="T123" s="73">
        <v>7.8254778344841398</v>
      </c>
      <c r="U123" s="73">
        <v>8.175723006104274</v>
      </c>
      <c r="V123" s="73">
        <v>2.1915340738516966</v>
      </c>
      <c r="W123" s="73">
        <v>0.49034324026818782</v>
      </c>
      <c r="X123" s="73">
        <v>0</v>
      </c>
      <c r="Y123" s="73">
        <f>SUM(O123:X123)</f>
        <v>100.00000000000001</v>
      </c>
      <c r="Z123" s="73">
        <v>2.6818773141198844</v>
      </c>
      <c r="AA123" s="73">
        <v>0.97383844464491542</v>
      </c>
      <c r="AB123" s="59">
        <f>(R123-AC123)*1.11</f>
        <v>3.6907919222892915</v>
      </c>
      <c r="AC123" s="60">
        <f>R123*1.11/(AA123+1.11)</f>
        <v>3.7899427185122487</v>
      </c>
      <c r="AD123" s="57">
        <f>100-R123+AB123+AC123</f>
        <v>100.3657541544611</v>
      </c>
      <c r="AE123" s="57"/>
      <c r="AF123" s="57">
        <f t="shared" si="334"/>
        <v>58.83516461523066</v>
      </c>
      <c r="AG123" s="57">
        <f t="shared" si="334"/>
        <v>0.17310117081957371</v>
      </c>
      <c r="AH123" s="57">
        <f t="shared" si="334"/>
        <v>12.184399079355551</v>
      </c>
      <c r="AI123" s="57">
        <f t="shared" si="334"/>
        <v>6.8374962473731618</v>
      </c>
      <c r="AJ123" s="57">
        <f t="shared" si="334"/>
        <v>0.11540078054638248</v>
      </c>
      <c r="AK123" s="57">
        <f t="shared" si="334"/>
        <v>7.5202841989392581</v>
      </c>
      <c r="AL123" s="57">
        <f t="shared" si="334"/>
        <v>7.8568698088662074</v>
      </c>
      <c r="AM123" s="57">
        <f t="shared" si="334"/>
        <v>2.1060642449714804</v>
      </c>
      <c r="AN123" s="57">
        <f t="shared" si="334"/>
        <v>0.47121985389772847</v>
      </c>
      <c r="AO123" s="57">
        <f t="shared" si="334"/>
        <v>0</v>
      </c>
      <c r="AP123" s="57">
        <f>SUM(AF123:AO123)</f>
        <v>96.1</v>
      </c>
      <c r="AQ123" s="57"/>
      <c r="AR123" s="84">
        <f t="shared" si="335"/>
        <v>58.620756761997121</v>
      </c>
      <c r="AS123" s="85">
        <f t="shared" si="335"/>
        <v>0.17247035333702979</v>
      </c>
      <c r="AT123" s="85">
        <f t="shared" si="335"/>
        <v>12.139996537667598</v>
      </c>
      <c r="AU123" s="85">
        <f t="shared" si="335"/>
        <v>6.8125789568126764</v>
      </c>
      <c r="AV123" s="85">
        <f t="shared" si="335"/>
        <v>0.11498023555801985</v>
      </c>
      <c r="AW123" s="85">
        <f t="shared" si="335"/>
        <v>7.4928786838642942</v>
      </c>
      <c r="AX123" s="85">
        <f t="shared" si="335"/>
        <v>7.8282377042418529</v>
      </c>
      <c r="AY123" s="85">
        <f t="shared" si="335"/>
        <v>2.0983892989338626</v>
      </c>
      <c r="AZ123" s="85">
        <f t="shared" si="335"/>
        <v>0.4695026285285811</v>
      </c>
      <c r="BA123" s="85">
        <f t="shared" si="335"/>
        <v>0</v>
      </c>
      <c r="BB123" s="85">
        <f>SUM(AR123:BA123)</f>
        <v>95.749791160941044</v>
      </c>
      <c r="BC123" s="85">
        <f t="shared" si="336"/>
        <v>3.5339255577768771</v>
      </c>
      <c r="BD123" s="85">
        <f t="shared" si="336"/>
        <v>3.628862238094769</v>
      </c>
      <c r="BE123" s="85">
        <f>BB123+BC123+BD123+B123-AU123</f>
        <v>100.00000000000003</v>
      </c>
      <c r="BF123" s="84">
        <f t="shared" si="337"/>
        <v>60.999746890735821</v>
      </c>
      <c r="BG123" s="85">
        <f t="shared" si="337"/>
        <v>0.17946967048598314</v>
      </c>
      <c r="BH123" s="85">
        <f t="shared" si="337"/>
        <v>12.63267069476337</v>
      </c>
      <c r="BI123" s="85">
        <f t="shared" si="338"/>
        <v>3.6773418915472189</v>
      </c>
      <c r="BJ123" s="85">
        <f t="shared" si="338"/>
        <v>3.7761313611808216</v>
      </c>
      <c r="BK123" s="85">
        <f t="shared" si="339"/>
        <v>0.11964644699065542</v>
      </c>
      <c r="BL123" s="85">
        <f t="shared" si="339"/>
        <v>7.7969601288910457</v>
      </c>
      <c r="BM123" s="85">
        <f t="shared" si="339"/>
        <v>8.145928932613792</v>
      </c>
      <c r="BN123" s="85">
        <f t="shared" si="339"/>
        <v>2.1835476575794615</v>
      </c>
      <c r="BO123" s="85">
        <f t="shared" si="339"/>
        <v>0.488556325211843</v>
      </c>
      <c r="BP123" s="85">
        <f t="shared" si="339"/>
        <v>0</v>
      </c>
      <c r="BQ123" s="85">
        <f>SUM(BF123:BP123)</f>
        <v>100.00000000000001</v>
      </c>
      <c r="BR123" s="85"/>
      <c r="BS123" s="82">
        <f>AR123/Weights!$B$5*2+AS123/Weights!$B$7*2+AT123/Weights!$B$8*3+'Data and calc.'!BC123/Weights!$B$20*3+'Data and calc.'!BD123/Weights!$B$10+'Data and calc.'!AV123/Weights!$B$11+'Data and calc.'!AW123/Weights!$B$13+'Data and calc.'!AX123/Weights!$B$14+'Data and calc.'!AY123/Weights!$B$15+AZ123/Weights!$B$16+B123/Weights!$B$19+'Data and calc.'!BA123/Weights!$B$6*5</f>
        <v>3.0122000073880626</v>
      </c>
      <c r="BT123" s="84">
        <f>AR123/Weights!$B$5*8/'Data and calc.'!$BS123</f>
        <v>2.5912301792235555</v>
      </c>
      <c r="BU123" s="85">
        <f>AS123/Weights!$B$7*8/'Data and calc.'!$BS123</f>
        <v>5.7354056371098769E-3</v>
      </c>
      <c r="BV123" s="85">
        <f>AT123/Weights!$B$8*8/'Data and calc.'!$BS123*2</f>
        <v>0.63244765336519104</v>
      </c>
      <c r="BW123" s="85">
        <f>BC123/Weights!$B$20*8/'Data and calc.'!$BS123*2</f>
        <v>0.11755037319906496</v>
      </c>
      <c r="BX123" s="85">
        <f>BD123/Weights!$B$10*8/'Data and calc.'!$BS123</f>
        <v>0.13414860443480373</v>
      </c>
      <c r="BY123" s="85">
        <f>AV123/Weights!$B$11*8/'Data and calc.'!$BS123</f>
        <v>4.3048328055299316E-3</v>
      </c>
      <c r="BZ123" s="85">
        <f>AW123/Weights!$B$13*8/'Data and calc.'!$BS123</f>
        <v>0.49374957253275686</v>
      </c>
      <c r="CA123" s="85">
        <f>AX123/Weights!$B$14*8/'Data and calc.'!$BS123</f>
        <v>0.3707536322841376</v>
      </c>
      <c r="CB123" s="85">
        <f>AY123/Weights!$B$15*8/'Data and calc.'!$BS123*2</f>
        <v>0.17983777005754534</v>
      </c>
      <c r="CC123" s="85">
        <f>AZ123/Weights!$B$16*8/'Data and calc.'!$BS123*2</f>
        <v>2.6475464517074915E-2</v>
      </c>
      <c r="CD123" s="85">
        <f>BA123/Weights!$B$6*8/'Data and calc.'!$BS123*2</f>
        <v>0</v>
      </c>
      <c r="CE123" s="85">
        <f>B123/Weights!$B$19*8/'Data and calc.'!$BS123*2</f>
        <v>1.1499170621754942</v>
      </c>
      <c r="CF123" s="85">
        <f>SUM(BT123:BW123)*4</f>
        <v>13.387854445699684</v>
      </c>
      <c r="CG123" s="85">
        <f>(16-CF123)/SUM(BT123:BW123)</f>
        <v>0.78045233159503424</v>
      </c>
      <c r="CH123" s="85"/>
      <c r="CI123" s="85">
        <f>AR123/Weights!$B$5*2+AS123/Weights!$B$7*2+AT123/Weights!$B$8*3+'Data and calc.'!BC123/Weights!$B$20*3+'Data and calc.'!BD123/Weights!$B$10+'Data and calc.'!AV123/Weights!$B$11+'Data and calc.'!AW123/Weights!$B$13+'Data and calc.'!AX123/Weights!$B$14+'Data and calc.'!AY123/Weights!$B$15+AZ123/Weights!$B$16+'Data and calc.'!BA123/Weights!$B$6*5</f>
        <v>2.79571374593927</v>
      </c>
      <c r="CJ123" s="84">
        <f>AR123/Weights!$B$5*8/'Data and calc.'!$CI123</f>
        <v>2.7918822434301238</v>
      </c>
      <c r="CK123" s="85">
        <f>AS123/Weights!$B$7*8/'Data and calc.'!$CI123</f>
        <v>6.1795271163112815E-3</v>
      </c>
      <c r="CL123" s="85">
        <f>AT123/Weights!$B$8*8/'Data and calc.'!$CI123*2</f>
        <v>0.68142127530268759</v>
      </c>
      <c r="CM123" s="85">
        <f>BC123/Weights!$B$20*8/'Data and calc.'!$CI123*2</f>
        <v>0.12665289339189184</v>
      </c>
      <c r="CN123" s="85">
        <f>BD123/Weights!$B$10*8/'Data and calc.'!$CI123</f>
        <v>0.14453640965801218</v>
      </c>
      <c r="CO123" s="85">
        <f>AV123/Weights!$B$11*8/'Data and calc.'!$CI123</f>
        <v>4.6381777917914599E-3</v>
      </c>
      <c r="CP123" s="85">
        <f>AW123/Weights!$B$13*8/'Data and calc.'!$CI123</f>
        <v>0.53198310026956896</v>
      </c>
      <c r="CQ123" s="85">
        <f>AX123/Weights!$B$14*8/'Data and calc.'!$CI123</f>
        <v>0.39946296201731724</v>
      </c>
      <c r="CR123" s="85">
        <f>AY123/Weights!$B$15*8/'Data and calc.'!$CI123*2</f>
        <v>0.19376351855865506</v>
      </c>
      <c r="CS123" s="85">
        <f>AZ123/Weights!$B$16*8/'Data and calc.'!$CI123*2</f>
        <v>2.8525593698485827E-2</v>
      </c>
      <c r="CT123" s="85">
        <f>BA123/Weights!$B$6*8/'Data and calc.'!$CI123*2</f>
        <v>0</v>
      </c>
      <c r="CU123" s="85">
        <f>CJ123*2+CK123*2+CL123*1.5+CM123*1.5+CN123+CO123+CP123+CQ123+CR123*0.5+CS123*0.5+CT123*2.5</f>
        <v>8</v>
      </c>
      <c r="CV123" s="85">
        <f>SUM(CJ123:CM123)*4</f>
        <v>14.424543756964059</v>
      </c>
      <c r="CW123" s="85">
        <f>(16-CV123)/SUM(CJ123:CM123)</f>
        <v>0.43688210028142416</v>
      </c>
      <c r="CX123" s="113"/>
      <c r="CY123" s="90">
        <f t="shared" si="340"/>
        <v>4.103832184308067E-2</v>
      </c>
      <c r="CZ123" s="91">
        <f>100*CY123/(1+CY123)</f>
        <v>3.942056789074333</v>
      </c>
      <c r="DA123" s="85">
        <f>CZ123-B123</f>
        <v>4.2056789074333079E-2</v>
      </c>
      <c r="DB123" s="85">
        <f t="shared" si="318"/>
        <v>4.2056789074333079E-2</v>
      </c>
      <c r="DC123" s="85"/>
      <c r="DD123" s="117"/>
      <c r="DE123" s="97"/>
      <c r="DF123" s="91">
        <f t="shared" si="341"/>
        <v>3.9557293692324591</v>
      </c>
      <c r="DG123" s="85">
        <f>DF123-B123</f>
        <v>5.5729369232459192E-2</v>
      </c>
      <c r="DH123" s="85">
        <f t="shared" si="342"/>
        <v>5.5729369232459192E-2</v>
      </c>
      <c r="DI123" s="85">
        <f t="shared" si="343"/>
        <v>3.1057625950477691E-3</v>
      </c>
      <c r="DJ123" s="85"/>
      <c r="DK123" s="117"/>
      <c r="DL123" s="99">
        <f>'Eq. 3 coef.'!$B$15+'Eq. 3 coef.'!$B$16*'Data and calc.'!G123^2+'Eq. 3 coef.'!$B$17*'Data and calc.'!G123+'Eq. 3 coef.'!$B$18*'Data and calc.'!BF123+'Eq. 3 coef.'!$B$19*'Data and calc.'!BG123+'Eq. 3 coef.'!$B$20*'Data and calc.'!BH123+'Eq. 3 coef.'!$B$21*'Data and calc.'!BI123+'Eq. 3 coef.'!$B$22*'Data and calc.'!BJ123+'Eq. 3 coef.'!$B$23*'Data and calc.'!BK123+'Eq. 3 coef.'!$B$24*'Data and calc.'!BL123+'Eq. 3 coef.'!$B$25*'Data and calc.'!BM123+'Eq. 3 coef.'!$B$26*'Data and calc.'!BN123+'Eq. 3 coef.'!$B$27*'Data and calc.'!BO123+'Eq. 3 coef.'!$B$28*'Data and calc.'!BP123</f>
        <v>3.9964264486088723</v>
      </c>
      <c r="DM123" s="85">
        <f>DL123-B123</f>
        <v>9.6426448608872395E-2</v>
      </c>
      <c r="DN123" s="85">
        <f t="shared" si="344"/>
        <v>9.6426448608872395E-2</v>
      </c>
      <c r="DO123" s="85"/>
      <c r="DP123" s="117"/>
      <c r="DQ123" s="99">
        <f>'Eq. 4 coef.'!$B$15+'Eq. 4 coef.'!$B$16*'Data and calc.'!G123^2+'Eq. 4 coef.'!$B$17*'Data and calc.'!G123+'Eq. 4 coef.'!$B$18*'Data and calc.'!O123+'Eq. 4 coef.'!$B$19*'Data and calc.'!P123+'Eq. 4 coef.'!$B$20*'Data and calc.'!Q123+'Eq. 4 coef.'!$B$21*'Data and calc.'!R123+'Eq. 4 coef.'!$B$22*'Data and calc.'!S123+'Eq. 4 coef.'!$B$23*'Data and calc.'!T123+'Eq. 4 coef.'!$B$24*'Data and calc.'!U123+'Eq. 4 coef.'!$B$25*'Data and calc.'!V123+'Eq. 4 coef.'!$B$26*'Data and calc.'!W123+'Eq. 4 coef.'!$B$27*'Data and calc.'!X123</f>
        <v>3.937794297369237</v>
      </c>
      <c r="DR123" s="85">
        <f>DQ123-B123</f>
        <v>3.7794297369237118E-2</v>
      </c>
      <c r="DS123" s="94">
        <f t="shared" si="345"/>
        <v>3.7794297369237118E-2</v>
      </c>
      <c r="DT123" s="85"/>
    </row>
    <row r="124" spans="1:124" ht="16" x14ac:dyDescent="0.2">
      <c r="B124" s="73"/>
      <c r="C124" s="73"/>
      <c r="D124" s="64"/>
      <c r="E124" s="71"/>
      <c r="F124" s="126"/>
      <c r="G124" s="73"/>
      <c r="H124" s="73"/>
      <c r="I124" s="126"/>
      <c r="L124" s="72"/>
      <c r="N124" s="50"/>
      <c r="O124" s="77"/>
      <c r="P124" s="78"/>
      <c r="Q124" s="78"/>
      <c r="R124" s="78"/>
      <c r="S124" s="78"/>
      <c r="T124" s="78"/>
      <c r="U124" s="78"/>
      <c r="V124" s="78"/>
      <c r="W124" s="78"/>
      <c r="X124" s="78"/>
      <c r="Y124" s="73"/>
      <c r="Z124" s="73"/>
      <c r="AA124" s="73"/>
      <c r="AB124" s="59"/>
      <c r="AC124" s="60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84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4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2"/>
      <c r="BT124" s="84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5"/>
      <c r="CH124" s="85"/>
      <c r="CI124" s="85"/>
      <c r="CJ124" s="84"/>
      <c r="CK124" s="85"/>
      <c r="CL124" s="85"/>
      <c r="CM124" s="85"/>
      <c r="CN124" s="85"/>
      <c r="CO124" s="85"/>
      <c r="CP124" s="85"/>
      <c r="CQ124" s="85"/>
      <c r="CR124" s="85"/>
      <c r="CS124" s="85"/>
      <c r="CT124" s="85"/>
      <c r="CU124" s="85"/>
      <c r="CV124" s="85"/>
      <c r="CW124" s="85"/>
      <c r="CX124" s="113"/>
      <c r="DB124" s="94"/>
      <c r="DD124" s="117"/>
      <c r="DE124" s="97"/>
      <c r="DF124" s="91"/>
      <c r="DG124" s="94"/>
      <c r="DH124" s="94"/>
      <c r="DI124" s="94"/>
      <c r="DK124" s="117"/>
      <c r="DN124" s="94"/>
      <c r="DP124" s="117"/>
      <c r="DS124" s="94"/>
    </row>
  </sheetData>
  <mergeCells count="4">
    <mergeCell ref="DE1:DJ1"/>
    <mergeCell ref="CY1:DC1"/>
    <mergeCell ref="DL1:DO1"/>
    <mergeCell ref="DQ1:DT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topLeftCell="A4" workbookViewId="0">
      <selection activeCell="B16" sqref="B16"/>
    </sheetView>
  </sheetViews>
  <sheetFormatPr baseColWidth="10" defaultColWidth="8.83203125" defaultRowHeight="15" x14ac:dyDescent="0.2"/>
  <cols>
    <col min="12" max="13" width="9.6640625" bestFit="1" customWidth="1"/>
  </cols>
  <sheetData>
    <row r="1" spans="1:12" ht="39" x14ac:dyDescent="0.45">
      <c r="A1" s="11" t="s">
        <v>416</v>
      </c>
    </row>
    <row r="2" spans="1:12" s="12" customFormat="1" ht="33" x14ac:dyDescent="0.4">
      <c r="A2" s="12" t="s">
        <v>417</v>
      </c>
    </row>
    <row r="3" spans="1:12" ht="16" thickBot="1" x14ac:dyDescent="0.25"/>
    <row r="4" spans="1:12" ht="20" thickBot="1" x14ac:dyDescent="0.3">
      <c r="A4" s="13"/>
      <c r="B4" s="14" t="s">
        <v>418</v>
      </c>
      <c r="C4" s="14" t="s">
        <v>419</v>
      </c>
      <c r="D4" s="15" t="s">
        <v>420</v>
      </c>
      <c r="E4" s="16" t="s">
        <v>420</v>
      </c>
      <c r="I4" s="17"/>
      <c r="K4" s="17"/>
    </row>
    <row r="5" spans="1:12" ht="17" x14ac:dyDescent="0.25">
      <c r="A5" s="18" t="s">
        <v>421</v>
      </c>
      <c r="B5" s="19">
        <f>B24+C5*2</f>
        <v>60.082999999999998</v>
      </c>
      <c r="C5" s="19">
        <v>15.999000000000001</v>
      </c>
      <c r="D5" s="20">
        <f>C5*2/B5</f>
        <v>0.53256328745235759</v>
      </c>
      <c r="E5" s="21">
        <v>0.53255442380667095</v>
      </c>
      <c r="I5" s="22"/>
      <c r="J5" s="23"/>
      <c r="K5" s="22"/>
      <c r="L5" s="24"/>
    </row>
    <row r="6" spans="1:12" x14ac:dyDescent="0.2">
      <c r="A6" s="18" t="s">
        <v>412</v>
      </c>
      <c r="B6" s="19">
        <f>C5*5+30.974*2</f>
        <v>141.94300000000001</v>
      </c>
      <c r="C6" s="19"/>
      <c r="D6" s="20"/>
      <c r="E6" s="21"/>
      <c r="I6" s="25"/>
      <c r="J6" s="26"/>
      <c r="K6" s="27"/>
      <c r="L6" s="28"/>
    </row>
    <row r="7" spans="1:12" ht="17" x14ac:dyDescent="0.25">
      <c r="A7" s="18" t="s">
        <v>422</v>
      </c>
      <c r="B7" s="19">
        <f>B25+C7*2</f>
        <v>79.864999999999995</v>
      </c>
      <c r="C7" s="19">
        <v>15.999000000000001</v>
      </c>
      <c r="D7" s="20">
        <f>C7*2/B7</f>
        <v>0.40065109872910543</v>
      </c>
      <c r="E7" s="21">
        <v>0.40048561916443498</v>
      </c>
      <c r="I7" s="25"/>
      <c r="J7" s="26"/>
      <c r="K7" s="27"/>
      <c r="L7" s="29"/>
    </row>
    <row r="8" spans="1:12" ht="17" x14ac:dyDescent="0.25">
      <c r="A8" s="18" t="s">
        <v>423</v>
      </c>
      <c r="B8" s="19">
        <f>B26*2+C8*3</f>
        <v>101.960077</v>
      </c>
      <c r="C8" s="19">
        <v>15.999000000000001</v>
      </c>
      <c r="D8" s="20">
        <f>C8*3/B8</f>
        <v>0.47074307329132364</v>
      </c>
      <c r="E8" s="21">
        <v>0.47073881189866701</v>
      </c>
      <c r="I8" s="25"/>
      <c r="J8" s="26"/>
      <c r="K8" s="27"/>
      <c r="L8" s="28"/>
    </row>
    <row r="9" spans="1:12" x14ac:dyDescent="0.2">
      <c r="A9" s="18" t="s">
        <v>424</v>
      </c>
      <c r="B9" s="20">
        <f>B27*2+C9*3</f>
        <v>151.98919999999998</v>
      </c>
      <c r="C9" s="19">
        <v>15.999000000000001</v>
      </c>
      <c r="D9" s="20">
        <f>C9*3/B9</f>
        <v>0.31579217470715026</v>
      </c>
      <c r="E9" s="21">
        <v>0.31579009699309557</v>
      </c>
      <c r="I9" s="25"/>
      <c r="J9" s="26"/>
      <c r="K9" s="27"/>
      <c r="L9" s="28"/>
    </row>
    <row r="10" spans="1:12" x14ac:dyDescent="0.2">
      <c r="A10" s="18" t="s">
        <v>425</v>
      </c>
      <c r="B10" s="19">
        <f>C10+B28</f>
        <v>71.843999999999994</v>
      </c>
      <c r="C10" s="19">
        <v>15.999000000000001</v>
      </c>
      <c r="D10" s="20">
        <f t="shared" ref="D10:D16" si="0">C10/B10</f>
        <v>0.22269083013195259</v>
      </c>
      <c r="E10" s="21">
        <v>0.22268463101634101</v>
      </c>
      <c r="I10" s="25"/>
      <c r="J10" s="26"/>
      <c r="K10" s="27"/>
      <c r="L10" s="28"/>
    </row>
    <row r="11" spans="1:12" x14ac:dyDescent="0.2">
      <c r="A11" s="18" t="s">
        <v>409</v>
      </c>
      <c r="B11" s="19">
        <f>C11+B31</f>
        <v>70.937044</v>
      </c>
      <c r="C11" s="19">
        <v>15.999000000000001</v>
      </c>
      <c r="D11" s="20">
        <f t="shared" si="0"/>
        <v>0.22553801367872053</v>
      </c>
      <c r="E11" s="21">
        <v>0.22553815357288901</v>
      </c>
      <c r="I11" s="25"/>
      <c r="J11" s="26"/>
      <c r="K11" s="27"/>
      <c r="L11" s="28"/>
    </row>
    <row r="12" spans="1:12" x14ac:dyDescent="0.2">
      <c r="A12" s="18" t="s">
        <v>426</v>
      </c>
      <c r="B12" s="19">
        <f>58.6934+C12</f>
        <v>74.692399999999992</v>
      </c>
      <c r="C12" s="19">
        <v>15.999000000000001</v>
      </c>
      <c r="D12" s="20"/>
      <c r="E12" s="21"/>
      <c r="I12" s="25"/>
      <c r="J12" s="26"/>
      <c r="K12" s="27"/>
      <c r="L12" s="28"/>
    </row>
    <row r="13" spans="1:12" x14ac:dyDescent="0.2">
      <c r="A13" s="18" t="s">
        <v>410</v>
      </c>
      <c r="B13" s="19">
        <v>40.304000000000002</v>
      </c>
      <c r="C13" s="19">
        <v>15.999000000000001</v>
      </c>
      <c r="D13" s="20">
        <f t="shared" si="0"/>
        <v>0.39695811830091304</v>
      </c>
      <c r="E13" s="21">
        <v>0.39695811830091299</v>
      </c>
      <c r="I13" s="25"/>
      <c r="J13" s="26"/>
      <c r="K13" s="30"/>
      <c r="L13" s="28"/>
    </row>
    <row r="14" spans="1:12" x14ac:dyDescent="0.2">
      <c r="A14" s="18" t="s">
        <v>411</v>
      </c>
      <c r="B14" s="19">
        <f>B30+C14</f>
        <v>56.077000000000005</v>
      </c>
      <c r="C14" s="19">
        <v>15.999000000000001</v>
      </c>
      <c r="D14" s="20">
        <f t="shared" si="0"/>
        <v>0.28530413538527383</v>
      </c>
      <c r="E14" s="21">
        <v>0.28529396030599702</v>
      </c>
      <c r="I14" s="25"/>
      <c r="J14" s="26"/>
      <c r="K14" s="27"/>
      <c r="L14" s="28"/>
    </row>
    <row r="15" spans="1:12" ht="18" thickBot="1" x14ac:dyDescent="0.3">
      <c r="A15" s="18" t="s">
        <v>427</v>
      </c>
      <c r="B15" s="19">
        <f>B32*2+C15</f>
        <v>61.978538560000004</v>
      </c>
      <c r="C15" s="19">
        <v>15.999000000000001</v>
      </c>
      <c r="D15" s="20">
        <f t="shared" si="0"/>
        <v>0.25813774205907963</v>
      </c>
      <c r="E15" s="21">
        <v>0.25813582019716402</v>
      </c>
      <c r="I15" s="31"/>
      <c r="J15" s="32"/>
      <c r="K15" s="27"/>
      <c r="L15" s="28"/>
    </row>
    <row r="16" spans="1:12" ht="17" x14ac:dyDescent="0.25">
      <c r="A16" s="18" t="s">
        <v>428</v>
      </c>
      <c r="B16" s="19">
        <f>B33*2+C16</f>
        <v>94.195599999999999</v>
      </c>
      <c r="C16" s="19">
        <v>15.999000000000001</v>
      </c>
      <c r="D16" s="20">
        <f t="shared" si="0"/>
        <v>0.16984869781603387</v>
      </c>
      <c r="E16" s="21">
        <v>0.169849779712299</v>
      </c>
      <c r="K16" s="27"/>
      <c r="L16" s="28"/>
    </row>
    <row r="17" spans="1:13" x14ac:dyDescent="0.2">
      <c r="A17" s="18" t="s">
        <v>429</v>
      </c>
      <c r="B17" s="33">
        <v>18.998403162999999</v>
      </c>
      <c r="C17" s="19">
        <v>15.999000000000001</v>
      </c>
      <c r="D17" s="20">
        <f>C17/B17/2</f>
        <v>0.42106170352144562</v>
      </c>
      <c r="E17" s="21">
        <v>0.42107063901463299</v>
      </c>
      <c r="K17" s="27"/>
      <c r="L17" s="28"/>
    </row>
    <row r="18" spans="1:13" ht="16" thickBot="1" x14ac:dyDescent="0.25">
      <c r="A18" s="18" t="s">
        <v>431</v>
      </c>
      <c r="B18" s="33">
        <v>35.450000000000003</v>
      </c>
      <c r="C18" s="19">
        <v>15.999000000000001</v>
      </c>
      <c r="D18" s="20">
        <f>C18/B18/2</f>
        <v>0.2256558533145275</v>
      </c>
      <c r="E18" s="21">
        <v>0.22563675852537199</v>
      </c>
      <c r="K18" s="34"/>
      <c r="L18" s="35"/>
    </row>
    <row r="19" spans="1:13" x14ac:dyDescent="0.2">
      <c r="A19" s="18" t="s">
        <v>430</v>
      </c>
      <c r="B19" s="19">
        <f>B35*2+C19</f>
        <v>18.015000000000001</v>
      </c>
      <c r="C19" s="19">
        <v>15.999000000000001</v>
      </c>
      <c r="D19" s="20">
        <f>C19/B19</f>
        <v>0.88809325562031638</v>
      </c>
      <c r="E19" s="21">
        <f>D19/C19</f>
        <v>5.5509297807382736E-2</v>
      </c>
      <c r="L19" s="151"/>
      <c r="M19" s="151"/>
    </row>
    <row r="20" spans="1:13" ht="17" x14ac:dyDescent="0.25">
      <c r="A20" s="18" t="s">
        <v>433</v>
      </c>
      <c r="B20" s="19">
        <f>B28*2+C20*3</f>
        <v>159.68700000000001</v>
      </c>
      <c r="C20" s="19">
        <v>15.999000000000001</v>
      </c>
      <c r="D20" s="20">
        <f>C20*3/B20</f>
        <v>0.30056923857295831</v>
      </c>
      <c r="E20" s="21">
        <v>0.30056170980205521</v>
      </c>
    </row>
    <row r="21" spans="1:13" x14ac:dyDescent="0.2">
      <c r="A21" s="36" t="s">
        <v>434</v>
      </c>
      <c r="B21" s="20">
        <f>B23+C20*2</f>
        <v>44.008700000000005</v>
      </c>
      <c r="C21" s="20"/>
      <c r="D21" s="20"/>
      <c r="E21" s="21"/>
    </row>
    <row r="22" spans="1:13" x14ac:dyDescent="0.2">
      <c r="A22" s="36"/>
      <c r="B22" s="37" t="s">
        <v>435</v>
      </c>
      <c r="C22" s="37"/>
      <c r="D22" s="20"/>
      <c r="E22" s="21"/>
    </row>
    <row r="23" spans="1:13" x14ac:dyDescent="0.2">
      <c r="A23" s="36" t="s">
        <v>436</v>
      </c>
      <c r="B23" s="38">
        <v>12.0107</v>
      </c>
      <c r="C23" s="20"/>
      <c r="D23" s="20"/>
      <c r="E23" s="21"/>
    </row>
    <row r="24" spans="1:13" x14ac:dyDescent="0.2">
      <c r="A24" s="18" t="s">
        <v>437</v>
      </c>
      <c r="B24" s="33">
        <v>28.085000000000001</v>
      </c>
      <c r="C24" s="19"/>
      <c r="D24" s="20"/>
      <c r="E24" s="21"/>
    </row>
    <row r="25" spans="1:13" x14ac:dyDescent="0.2">
      <c r="A25" s="18" t="s">
        <v>438</v>
      </c>
      <c r="B25" s="33">
        <v>47.866999999999997</v>
      </c>
      <c r="C25" s="19"/>
      <c r="D25" s="20"/>
      <c r="E25" s="21"/>
    </row>
    <row r="26" spans="1:13" x14ac:dyDescent="0.2">
      <c r="A26" s="18" t="s">
        <v>439</v>
      </c>
      <c r="B26" s="33">
        <v>26.981538499999999</v>
      </c>
      <c r="C26" s="19"/>
      <c r="D26" s="20"/>
      <c r="E26" s="21"/>
    </row>
    <row r="27" spans="1:13" x14ac:dyDescent="0.2">
      <c r="A27" s="18" t="s">
        <v>440</v>
      </c>
      <c r="B27" s="33">
        <v>51.996099999999998</v>
      </c>
      <c r="C27" s="19"/>
      <c r="D27" s="20"/>
      <c r="E27" s="21"/>
    </row>
    <row r="28" spans="1:13" x14ac:dyDescent="0.2">
      <c r="A28" s="18" t="s">
        <v>441</v>
      </c>
      <c r="B28" s="33">
        <v>55.844999999999999</v>
      </c>
      <c r="C28" s="19"/>
      <c r="D28" s="20"/>
      <c r="E28" s="21"/>
    </row>
    <row r="29" spans="1:13" x14ac:dyDescent="0.2">
      <c r="A29" s="18" t="s">
        <v>442</v>
      </c>
      <c r="B29" s="19">
        <v>24.305</v>
      </c>
      <c r="C29" s="19"/>
      <c r="D29" s="20"/>
      <c r="E29" s="21"/>
    </row>
    <row r="30" spans="1:13" x14ac:dyDescent="0.2">
      <c r="A30" s="18" t="s">
        <v>443</v>
      </c>
      <c r="B30" s="33">
        <v>40.078000000000003</v>
      </c>
      <c r="C30" s="19"/>
      <c r="D30" s="20"/>
      <c r="E30" s="21"/>
    </row>
    <row r="31" spans="1:13" x14ac:dyDescent="0.2">
      <c r="A31" s="18" t="s">
        <v>444</v>
      </c>
      <c r="B31" s="33">
        <v>54.938043999999998</v>
      </c>
      <c r="C31" s="19"/>
      <c r="D31" s="20"/>
      <c r="E31" s="21"/>
    </row>
    <row r="32" spans="1:13" x14ac:dyDescent="0.2">
      <c r="A32" s="18" t="s">
        <v>445</v>
      </c>
      <c r="B32" s="33">
        <v>22.989769280000001</v>
      </c>
      <c r="C32" s="19"/>
      <c r="D32" s="20"/>
      <c r="E32" s="21"/>
    </row>
    <row r="33" spans="1:5" x14ac:dyDescent="0.2">
      <c r="A33" s="18" t="s">
        <v>446</v>
      </c>
      <c r="B33" s="33">
        <v>39.098300000000002</v>
      </c>
      <c r="C33" s="19"/>
      <c r="D33" s="20"/>
      <c r="E33" s="21"/>
    </row>
    <row r="34" spans="1:5" x14ac:dyDescent="0.2">
      <c r="A34" s="18" t="s">
        <v>447</v>
      </c>
      <c r="B34" s="33">
        <f>B12-C12</f>
        <v>58.69339999999999</v>
      </c>
      <c r="C34" s="33"/>
      <c r="D34" s="33"/>
      <c r="E34" s="39"/>
    </row>
    <row r="35" spans="1:5" x14ac:dyDescent="0.2">
      <c r="A35" s="18" t="s">
        <v>448</v>
      </c>
      <c r="B35" s="33">
        <v>1.008</v>
      </c>
      <c r="C35" s="33"/>
      <c r="D35" s="33"/>
      <c r="E35" s="39"/>
    </row>
    <row r="36" spans="1:5" ht="16" thickBot="1" x14ac:dyDescent="0.25">
      <c r="A36" s="40" t="s">
        <v>449</v>
      </c>
      <c r="B36" s="41">
        <f>B35+C19</f>
        <v>17.007000000000001</v>
      </c>
      <c r="C36" s="41"/>
      <c r="D36" s="41"/>
      <c r="E36" s="42"/>
    </row>
  </sheetData>
  <mergeCells count="1">
    <mergeCell ref="L19:M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8"/>
  <sheetViews>
    <sheetView workbookViewId="0">
      <selection activeCell="B15" sqref="B15:I28"/>
    </sheetView>
  </sheetViews>
  <sheetFormatPr baseColWidth="10" defaultColWidth="8.83203125" defaultRowHeight="15" x14ac:dyDescent="0.2"/>
  <cols>
    <col min="1" max="1" width="17.5" customWidth="1"/>
    <col min="2" max="2" width="12.6640625" bestFit="1" customWidth="1"/>
    <col min="3" max="3" width="14.5" bestFit="1" customWidth="1"/>
    <col min="4" max="4" width="12.6640625" bestFit="1" customWidth="1"/>
    <col min="5" max="5" width="12" bestFit="1" customWidth="1"/>
    <col min="6" max="6" width="13.5" bestFit="1" customWidth="1"/>
    <col min="7" max="9" width="12.6640625" bestFit="1" customWidth="1"/>
  </cols>
  <sheetData>
    <row r="1" spans="1:9" x14ac:dyDescent="0.2">
      <c r="A1" t="s">
        <v>460</v>
      </c>
    </row>
    <row r="2" spans="1:9" ht="16" thickBot="1" x14ac:dyDescent="0.25"/>
    <row r="3" spans="1:9" x14ac:dyDescent="0.2">
      <c r="A3" s="46" t="s">
        <v>461</v>
      </c>
      <c r="B3" s="46"/>
    </row>
    <row r="4" spans="1:9" x14ac:dyDescent="0.2">
      <c r="A4" t="s">
        <v>462</v>
      </c>
      <c r="B4" s="122">
        <v>0.99433321772620342</v>
      </c>
    </row>
    <row r="5" spans="1:9" x14ac:dyDescent="0.2">
      <c r="A5" t="s">
        <v>463</v>
      </c>
      <c r="B5" s="122">
        <v>0.98869854787374556</v>
      </c>
    </row>
    <row r="6" spans="1:9" ht="16" thickBot="1" x14ac:dyDescent="0.25">
      <c r="A6" s="44" t="s">
        <v>465</v>
      </c>
      <c r="B6" s="123">
        <v>75</v>
      </c>
    </row>
    <row r="8" spans="1:9" ht="16" thickBot="1" x14ac:dyDescent="0.25">
      <c r="A8" t="s">
        <v>466</v>
      </c>
    </row>
    <row r="9" spans="1:9" x14ac:dyDescent="0.2">
      <c r="A9" s="45"/>
      <c r="B9" s="45" t="s">
        <v>469</v>
      </c>
      <c r="C9" s="45" t="s">
        <v>470</v>
      </c>
      <c r="D9" s="45" t="s">
        <v>471</v>
      </c>
      <c r="E9" s="45" t="s">
        <v>429</v>
      </c>
      <c r="F9" s="45" t="s">
        <v>472</v>
      </c>
    </row>
    <row r="10" spans="1:9" x14ac:dyDescent="0.2">
      <c r="A10" t="s">
        <v>467</v>
      </c>
      <c r="B10" s="124">
        <v>13</v>
      </c>
      <c r="C10" s="124">
        <v>284.25208050620131</v>
      </c>
      <c r="D10" s="124">
        <v>21.865544654323177</v>
      </c>
      <c r="E10" s="124">
        <v>410.50280527968192</v>
      </c>
      <c r="F10" s="124">
        <v>3.4517490197161894E-54</v>
      </c>
    </row>
    <row r="11" spans="1:9" x14ac:dyDescent="0.2">
      <c r="A11" t="s">
        <v>468</v>
      </c>
      <c r="B11" s="124">
        <v>61</v>
      </c>
      <c r="C11" s="124">
        <v>3.2491817516447332</v>
      </c>
      <c r="D11" s="124">
        <v>5.3265274617126775E-2</v>
      </c>
      <c r="E11" s="124"/>
      <c r="F11" s="124"/>
    </row>
    <row r="12" spans="1:9" ht="16" thickBot="1" x14ac:dyDescent="0.25">
      <c r="A12" s="44" t="s">
        <v>432</v>
      </c>
      <c r="B12" s="123">
        <v>74</v>
      </c>
      <c r="C12" s="123">
        <v>287.50126225784607</v>
      </c>
      <c r="D12" s="123"/>
      <c r="E12" s="123"/>
      <c r="F12" s="123"/>
    </row>
    <row r="13" spans="1:9" ht="16" thickBot="1" x14ac:dyDescent="0.25"/>
    <row r="14" spans="1:9" x14ac:dyDescent="0.2">
      <c r="A14" s="45"/>
      <c r="B14" s="45" t="s">
        <v>473</v>
      </c>
      <c r="C14" s="45" t="s">
        <v>464</v>
      </c>
      <c r="D14" s="45" t="s">
        <v>474</v>
      </c>
      <c r="E14" s="45" t="s">
        <v>475</v>
      </c>
      <c r="F14" s="45" t="s">
        <v>476</v>
      </c>
      <c r="G14" s="45" t="s">
        <v>477</v>
      </c>
      <c r="H14" s="45" t="s">
        <v>478</v>
      </c>
      <c r="I14" s="45" t="s">
        <v>479</v>
      </c>
    </row>
    <row r="15" spans="1:9" ht="17" x14ac:dyDescent="0.25">
      <c r="A15" t="s">
        <v>657</v>
      </c>
      <c r="B15" s="124">
        <v>-1306680.6473431359</v>
      </c>
      <c r="C15" s="124">
        <v>665156.51780259726</v>
      </c>
      <c r="D15" s="124">
        <v>-1.9644709363442303</v>
      </c>
      <c r="E15" s="124">
        <v>5.4272831802619971E-2</v>
      </c>
      <c r="F15" s="124">
        <v>-2638136.0679849423</v>
      </c>
      <c r="G15" s="124">
        <v>24774.773298670469</v>
      </c>
      <c r="H15" s="124">
        <v>-2638136.0679849423</v>
      </c>
      <c r="I15" s="124">
        <v>24774.773298670469</v>
      </c>
    </row>
    <row r="16" spans="1:9" ht="17" x14ac:dyDescent="0.25">
      <c r="A16" t="s">
        <v>643</v>
      </c>
      <c r="B16" s="124">
        <v>-1.3240354509456081E-2</v>
      </c>
      <c r="C16" s="124">
        <v>7.1523590533357599E-3</v>
      </c>
      <c r="D16" s="124">
        <v>-1.8511870574060407</v>
      </c>
      <c r="E16" s="124">
        <v>6.9236268869119905E-2</v>
      </c>
      <c r="F16" s="124">
        <v>-2.7557356563950888E-2</v>
      </c>
      <c r="G16" s="124">
        <v>1.0766475450387258E-3</v>
      </c>
      <c r="H16" s="124">
        <v>-2.7557356563950888E-2</v>
      </c>
      <c r="I16" s="124">
        <v>1.0766475450387258E-3</v>
      </c>
    </row>
    <row r="17" spans="1:9" ht="17" x14ac:dyDescent="0.25">
      <c r="A17" t="s">
        <v>644</v>
      </c>
      <c r="B17" s="124">
        <v>0.93304406079462976</v>
      </c>
      <c r="C17" s="124">
        <v>8.5144663820502106E-2</v>
      </c>
      <c r="D17" s="124">
        <v>10.958338654805525</v>
      </c>
      <c r="E17" s="124">
        <v>9.3691114666164464E-16</v>
      </c>
      <c r="F17" s="124">
        <v>0.7626084999178494</v>
      </c>
      <c r="G17" s="124">
        <v>1.1034796216714102</v>
      </c>
      <c r="H17" s="124">
        <v>0.7626084999178494</v>
      </c>
      <c r="I17" s="124">
        <v>1.1034796216714102</v>
      </c>
    </row>
    <row r="18" spans="1:9" ht="17" x14ac:dyDescent="0.25">
      <c r="A18" t="s">
        <v>645</v>
      </c>
      <c r="B18" s="124">
        <v>13066.788152376395</v>
      </c>
      <c r="C18" s="124">
        <v>6651.5648924768602</v>
      </c>
      <c r="D18" s="124">
        <v>1.9644682662805206</v>
      </c>
      <c r="E18" s="124">
        <v>5.4273148979091475E-2</v>
      </c>
      <c r="F18" s="124">
        <v>-247.7654824530222</v>
      </c>
      <c r="G18" s="124">
        <v>26381.341787205813</v>
      </c>
      <c r="H18" s="124">
        <v>-247.7654824530222</v>
      </c>
      <c r="I18" s="124">
        <v>26381.341787205813</v>
      </c>
    </row>
    <row r="19" spans="1:9" ht="17" x14ac:dyDescent="0.25">
      <c r="A19" t="s">
        <v>646</v>
      </c>
      <c r="B19" s="124">
        <v>13066.105385805758</v>
      </c>
      <c r="C19" s="124">
        <v>6651.5612412244764</v>
      </c>
      <c r="D19" s="124">
        <v>1.9643666970734284</v>
      </c>
      <c r="E19" s="124">
        <v>5.4285215548433657E-2</v>
      </c>
      <c r="F19" s="124">
        <v>-248.44094024798224</v>
      </c>
      <c r="G19" s="124">
        <v>26380.6517118595</v>
      </c>
      <c r="H19" s="124">
        <v>-248.44094024798224</v>
      </c>
      <c r="I19" s="124">
        <v>26380.6517118595</v>
      </c>
    </row>
    <row r="20" spans="1:9" ht="17" x14ac:dyDescent="0.25">
      <c r="A20" t="s">
        <v>647</v>
      </c>
      <c r="B20" s="124">
        <v>13066.845833392768</v>
      </c>
      <c r="C20" s="124">
        <v>6651.5638466192822</v>
      </c>
      <c r="D20" s="124">
        <v>1.9644772469611205</v>
      </c>
      <c r="E20" s="124">
        <v>5.4272082171683007E-2</v>
      </c>
      <c r="F20" s="124">
        <v>-247.70570792526635</v>
      </c>
      <c r="G20" s="124">
        <v>26381.397374710803</v>
      </c>
      <c r="H20" s="124">
        <v>-247.70570792526635</v>
      </c>
      <c r="I20" s="124">
        <v>26381.397374710803</v>
      </c>
    </row>
    <row r="21" spans="1:9" ht="17" x14ac:dyDescent="0.25">
      <c r="A21" t="s">
        <v>648</v>
      </c>
      <c r="B21" s="124">
        <v>13066.872485941862</v>
      </c>
      <c r="C21" s="124">
        <v>6651.5583196975867</v>
      </c>
      <c r="D21" s="124">
        <v>1.9644828862503227</v>
      </c>
      <c r="E21" s="124">
        <v>5.4271412294490708E-2</v>
      </c>
      <c r="F21" s="124">
        <v>-247.66799204047086</v>
      </c>
      <c r="G21" s="124">
        <v>26381.412963924195</v>
      </c>
      <c r="H21" s="124">
        <v>-247.66799204047086</v>
      </c>
      <c r="I21" s="124">
        <v>26381.412963924195</v>
      </c>
    </row>
    <row r="22" spans="1:9" ht="17" x14ac:dyDescent="0.25">
      <c r="A22" t="s">
        <v>649</v>
      </c>
      <c r="B22" s="124">
        <v>13066.917109234475</v>
      </c>
      <c r="C22" s="124">
        <v>6651.5730568537283</v>
      </c>
      <c r="D22" s="124">
        <v>1.9644852424450825</v>
      </c>
      <c r="E22" s="124">
        <v>5.4271132410049897E-2</v>
      </c>
      <c r="F22" s="124">
        <v>-247.65286837073481</v>
      </c>
      <c r="G22" s="124">
        <v>26381.487086839687</v>
      </c>
      <c r="H22" s="124">
        <v>-247.65286837073481</v>
      </c>
      <c r="I22" s="124">
        <v>26381.487086839687</v>
      </c>
    </row>
    <row r="23" spans="1:9" ht="17" x14ac:dyDescent="0.25">
      <c r="A23" t="s">
        <v>650</v>
      </c>
      <c r="B23" s="124">
        <v>13067.859206170695</v>
      </c>
      <c r="C23" s="124">
        <v>6651.759817982178</v>
      </c>
      <c r="D23" s="124">
        <v>1.9645717169227033</v>
      </c>
      <c r="E23" s="124">
        <v>5.4260861252853752E-2</v>
      </c>
      <c r="F23" s="124">
        <v>-247.08461444767661</v>
      </c>
      <c r="G23" s="124">
        <v>26382.803026789068</v>
      </c>
      <c r="H23" s="124">
        <v>-247.08461444767661</v>
      </c>
      <c r="I23" s="124">
        <v>26382.803026789068</v>
      </c>
    </row>
    <row r="24" spans="1:9" ht="17" x14ac:dyDescent="0.25">
      <c r="A24" t="s">
        <v>651</v>
      </c>
      <c r="B24" s="124">
        <v>13066.73958874551</v>
      </c>
      <c r="C24" s="124">
        <v>6651.568756054181</v>
      </c>
      <c r="D24" s="124">
        <v>1.9644598241358198</v>
      </c>
      <c r="E24" s="124">
        <v>5.4274151830647828E-2</v>
      </c>
      <c r="F24" s="124">
        <v>-247.82177987412001</v>
      </c>
      <c r="G24" s="124">
        <v>26381.30095736514</v>
      </c>
      <c r="H24" s="124">
        <v>-247.82177987412001</v>
      </c>
      <c r="I24" s="124">
        <v>26381.30095736514</v>
      </c>
    </row>
    <row r="25" spans="1:9" ht="17" x14ac:dyDescent="0.25">
      <c r="A25" t="s">
        <v>652</v>
      </c>
      <c r="B25" s="124">
        <v>13066.810760028002</v>
      </c>
      <c r="C25" s="124">
        <v>6651.5592642132033</v>
      </c>
      <c r="D25" s="124">
        <v>1.9644733273790718</v>
      </c>
      <c r="E25" s="124">
        <v>5.4272547773292129E-2</v>
      </c>
      <c r="F25" s="124">
        <v>-247.73160860773913</v>
      </c>
      <c r="G25" s="124">
        <v>26381.353128663744</v>
      </c>
      <c r="H25" s="124">
        <v>-247.73160860773913</v>
      </c>
      <c r="I25" s="124">
        <v>26381.353128663744</v>
      </c>
    </row>
    <row r="26" spans="1:9" ht="17" x14ac:dyDescent="0.25">
      <c r="A26" t="s">
        <v>653</v>
      </c>
      <c r="B26" s="124">
        <v>13066.774029002423</v>
      </c>
      <c r="C26" s="124">
        <v>6651.5602630145922</v>
      </c>
      <c r="D26" s="124">
        <v>1.9644675102259923</v>
      </c>
      <c r="E26" s="124">
        <v>5.4273238790984786E-2</v>
      </c>
      <c r="F26" s="124">
        <v>-247.77033895150524</v>
      </c>
      <c r="G26" s="124">
        <v>26381.318396956351</v>
      </c>
      <c r="H26" s="124">
        <v>-247.77033895150524</v>
      </c>
      <c r="I26" s="124">
        <v>26381.318396956351</v>
      </c>
    </row>
    <row r="27" spans="1:9" ht="17" x14ac:dyDescent="0.25">
      <c r="A27" t="s">
        <v>654</v>
      </c>
      <c r="B27" s="124">
        <v>13066.858919739521</v>
      </c>
      <c r="C27" s="124">
        <v>6651.5646565612424</v>
      </c>
      <c r="D27" s="124">
        <v>1.9644789751611447</v>
      </c>
      <c r="E27" s="124">
        <v>5.4271876882331212E-2</v>
      </c>
      <c r="F27" s="124">
        <v>-247.69424285348308</v>
      </c>
      <c r="G27" s="124">
        <v>26381.412082332525</v>
      </c>
      <c r="H27" s="124">
        <v>-247.69424285348308</v>
      </c>
      <c r="I27" s="124">
        <v>26381.412082332525</v>
      </c>
    </row>
    <row r="28" spans="1:9" ht="18" thickBot="1" x14ac:dyDescent="0.3">
      <c r="A28" s="44" t="s">
        <v>655</v>
      </c>
      <c r="B28" s="123">
        <v>13066.243508945427</v>
      </c>
      <c r="C28" s="123">
        <v>6651.5588709280873</v>
      </c>
      <c r="D28" s="123">
        <v>1.9643881626086102</v>
      </c>
      <c r="E28" s="123">
        <v>5.4282665220302458E-2</v>
      </c>
      <c r="F28" s="123">
        <v>-248.29807244462791</v>
      </c>
      <c r="G28" s="123">
        <v>26380.785090335481</v>
      </c>
      <c r="H28" s="123">
        <v>-248.29807244462791</v>
      </c>
      <c r="I28" s="123">
        <v>26380.785090335481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workbookViewId="0">
      <selection activeCell="B15" sqref="B15:I27"/>
    </sheetView>
  </sheetViews>
  <sheetFormatPr baseColWidth="10" defaultColWidth="8.83203125" defaultRowHeight="15" x14ac:dyDescent="0.2"/>
  <cols>
    <col min="1" max="1" width="17.5" customWidth="1"/>
    <col min="2" max="2" width="12.6640625" bestFit="1" customWidth="1"/>
    <col min="3" max="3" width="14.5" bestFit="1" customWidth="1"/>
    <col min="4" max="4" width="12.6640625" bestFit="1" customWidth="1"/>
    <col min="5" max="5" width="12" bestFit="1" customWidth="1"/>
    <col min="6" max="6" width="13.5" bestFit="1" customWidth="1"/>
    <col min="7" max="7" width="12" bestFit="1" customWidth="1"/>
    <col min="8" max="8" width="12.6640625" bestFit="1" customWidth="1"/>
    <col min="9" max="9" width="12.5" bestFit="1" customWidth="1"/>
  </cols>
  <sheetData>
    <row r="1" spans="1:9" x14ac:dyDescent="0.2">
      <c r="A1" t="s">
        <v>460</v>
      </c>
    </row>
    <row r="2" spans="1:9" ht="16" thickBot="1" x14ac:dyDescent="0.25"/>
    <row r="3" spans="1:9" x14ac:dyDescent="0.2">
      <c r="A3" s="46" t="s">
        <v>461</v>
      </c>
      <c r="B3" s="46"/>
    </row>
    <row r="4" spans="1:9" x14ac:dyDescent="0.2">
      <c r="A4" t="s">
        <v>462</v>
      </c>
      <c r="B4" s="122">
        <v>0.99413236139925654</v>
      </c>
    </row>
    <row r="5" spans="1:9" x14ac:dyDescent="0.2">
      <c r="A5" t="s">
        <v>463</v>
      </c>
      <c r="B5" s="122">
        <v>0.98829915198126206</v>
      </c>
    </row>
    <row r="6" spans="1:9" ht="16" thickBot="1" x14ac:dyDescent="0.25">
      <c r="A6" s="44" t="s">
        <v>465</v>
      </c>
      <c r="B6" s="123">
        <v>76</v>
      </c>
    </row>
    <row r="8" spans="1:9" ht="16" thickBot="1" x14ac:dyDescent="0.25">
      <c r="A8" t="s">
        <v>466</v>
      </c>
    </row>
    <row r="9" spans="1:9" x14ac:dyDescent="0.2">
      <c r="A9" s="45"/>
      <c r="B9" s="45" t="s">
        <v>469</v>
      </c>
      <c r="C9" s="45" t="s">
        <v>470</v>
      </c>
      <c r="D9" s="45" t="s">
        <v>471</v>
      </c>
      <c r="E9" s="45" t="s">
        <v>429</v>
      </c>
      <c r="F9" s="45" t="s">
        <v>472</v>
      </c>
    </row>
    <row r="10" spans="1:9" x14ac:dyDescent="0.2">
      <c r="A10" t="s">
        <v>467</v>
      </c>
      <c r="B10" s="124">
        <v>12</v>
      </c>
      <c r="C10" s="124">
        <v>299.18182569827599</v>
      </c>
      <c r="D10" s="124">
        <v>24.931818808189664</v>
      </c>
      <c r="E10" s="124">
        <v>443.43542789313864</v>
      </c>
      <c r="F10" s="124">
        <v>5.3971805589537033E-56</v>
      </c>
    </row>
    <row r="11" spans="1:9" x14ac:dyDescent="0.2">
      <c r="A11" t="s">
        <v>468</v>
      </c>
      <c r="B11" s="124">
        <v>63</v>
      </c>
      <c r="C11" s="124">
        <v>3.542126961706058</v>
      </c>
      <c r="D11" s="124">
        <v>5.6224237487397744E-2</v>
      </c>
      <c r="E11" s="124"/>
      <c r="F11" s="124"/>
    </row>
    <row r="12" spans="1:9" ht="16" thickBot="1" x14ac:dyDescent="0.25">
      <c r="A12" s="44" t="s">
        <v>432</v>
      </c>
      <c r="B12" s="123">
        <v>75</v>
      </c>
      <c r="C12" s="123">
        <v>302.72395265998205</v>
      </c>
      <c r="D12" s="123"/>
      <c r="E12" s="123"/>
      <c r="F12" s="123"/>
    </row>
    <row r="13" spans="1:9" ht="16" thickBot="1" x14ac:dyDescent="0.25"/>
    <row r="14" spans="1:9" x14ac:dyDescent="0.2">
      <c r="A14" s="45"/>
      <c r="B14" s="45" t="s">
        <v>473</v>
      </c>
      <c r="C14" s="45" t="s">
        <v>464</v>
      </c>
      <c r="D14" s="45" t="s">
        <v>474</v>
      </c>
      <c r="E14" s="45" t="s">
        <v>475</v>
      </c>
      <c r="F14" s="45" t="s">
        <v>476</v>
      </c>
      <c r="G14" s="45" t="s">
        <v>477</v>
      </c>
      <c r="H14" s="45" t="s">
        <v>478</v>
      </c>
      <c r="I14" s="45" t="s">
        <v>479</v>
      </c>
    </row>
    <row r="15" spans="1:9" ht="17" x14ac:dyDescent="0.25">
      <c r="A15" t="s">
        <v>658</v>
      </c>
      <c r="B15" s="124">
        <v>-496983.23058771912</v>
      </c>
      <c r="C15" s="124">
        <v>574283.56560488732</v>
      </c>
      <c r="D15" s="124">
        <v>-0.86539692297175785</v>
      </c>
      <c r="E15" s="124">
        <v>0.39010451501078391</v>
      </c>
      <c r="F15" s="124">
        <v>-1644597.3511127564</v>
      </c>
      <c r="G15" s="124">
        <v>650630.88993731816</v>
      </c>
      <c r="H15" s="124">
        <v>-1644597.3511127564</v>
      </c>
      <c r="I15" s="124">
        <v>650630.88993731816</v>
      </c>
    </row>
    <row r="16" spans="1:9" ht="17" x14ac:dyDescent="0.25">
      <c r="A16" t="s">
        <v>659</v>
      </c>
      <c r="B16" s="124">
        <v>-9.0642639832965149E-3</v>
      </c>
      <c r="C16" s="124">
        <v>5.2750422407460227E-3</v>
      </c>
      <c r="D16" s="124">
        <v>-1.7183301231753931</v>
      </c>
      <c r="E16" s="124">
        <v>9.0647716326623204E-2</v>
      </c>
      <c r="F16" s="124">
        <v>-1.9605594650612148E-2</v>
      </c>
      <c r="G16" s="124">
        <v>1.4770666840191195E-3</v>
      </c>
      <c r="H16" s="124">
        <v>-1.9605594650612148E-2</v>
      </c>
      <c r="I16" s="124">
        <v>1.4770666840191195E-3</v>
      </c>
    </row>
    <row r="17" spans="1:9" ht="17" x14ac:dyDescent="0.25">
      <c r="A17" t="s">
        <v>660</v>
      </c>
      <c r="B17" s="124">
        <v>0.87525481055448695</v>
      </c>
      <c r="C17" s="124">
        <v>5.0441825554459398E-2</v>
      </c>
      <c r="D17" s="124">
        <v>17.351767128442251</v>
      </c>
      <c r="E17" s="124">
        <v>1.1010317815512643E-25</v>
      </c>
      <c r="F17" s="124">
        <v>0.77445486652268158</v>
      </c>
      <c r="G17" s="124">
        <v>0.97605475458629232</v>
      </c>
      <c r="H17" s="124">
        <v>0.77445486652268158</v>
      </c>
      <c r="I17" s="124">
        <v>0.97605475458629232</v>
      </c>
    </row>
    <row r="18" spans="1:9" ht="17" x14ac:dyDescent="0.25">
      <c r="A18" t="s">
        <v>661</v>
      </c>
      <c r="B18" s="124">
        <v>4969.8174188887242</v>
      </c>
      <c r="C18" s="124">
        <v>5742.8367205427967</v>
      </c>
      <c r="D18" s="124">
        <v>0.86539417029063492</v>
      </c>
      <c r="E18" s="124">
        <v>0.39010601380469534</v>
      </c>
      <c r="F18" s="124">
        <v>-6506.3259135829921</v>
      </c>
      <c r="G18" s="124">
        <v>16445.960751360439</v>
      </c>
      <c r="H18" s="124">
        <v>-6506.3259135829921</v>
      </c>
      <c r="I18" s="124">
        <v>16445.960751360439</v>
      </c>
    </row>
    <row r="19" spans="1:9" ht="17" x14ac:dyDescent="0.25">
      <c r="A19" t="s">
        <v>662</v>
      </c>
      <c r="B19" s="124">
        <v>4969.2440932864774</v>
      </c>
      <c r="C19" s="124">
        <v>5742.8649327265121</v>
      </c>
      <c r="D19" s="124">
        <v>0.86529008630667092</v>
      </c>
      <c r="E19" s="124">
        <v>0.39016268861508319</v>
      </c>
      <c r="F19" s="124">
        <v>-6506.9556167351839</v>
      </c>
      <c r="G19" s="124">
        <v>16445.443803308139</v>
      </c>
      <c r="H19" s="124">
        <v>-6506.9556167351839</v>
      </c>
      <c r="I19" s="124">
        <v>16445.443803308139</v>
      </c>
    </row>
    <row r="20" spans="1:9" ht="17" x14ac:dyDescent="0.25">
      <c r="A20" t="s">
        <v>663</v>
      </c>
      <c r="B20" s="124">
        <v>4969.8718515300397</v>
      </c>
      <c r="C20" s="124">
        <v>5742.8328174186818</v>
      </c>
      <c r="D20" s="124">
        <v>0.86540423681773193</v>
      </c>
      <c r="E20" s="124">
        <v>0.39010053274792234</v>
      </c>
      <c r="F20" s="124">
        <v>-6506.2636811705934</v>
      </c>
      <c r="G20" s="124">
        <v>16446.007384230674</v>
      </c>
      <c r="H20" s="124">
        <v>-6506.2636811705934</v>
      </c>
      <c r="I20" s="124">
        <v>16446.007384230674</v>
      </c>
    </row>
    <row r="21" spans="1:9" ht="17" x14ac:dyDescent="0.25">
      <c r="A21" t="s">
        <v>664</v>
      </c>
      <c r="B21" s="124">
        <v>4969.9098230288291</v>
      </c>
      <c r="C21" s="124">
        <v>5742.832577474368</v>
      </c>
      <c r="D21" s="124">
        <v>0.86541088495645102</v>
      </c>
      <c r="E21" s="124">
        <v>0.39009691297311277</v>
      </c>
      <c r="F21" s="124">
        <v>-6506.2252301813587</v>
      </c>
      <c r="G21" s="124">
        <v>16446.044876239015</v>
      </c>
      <c r="H21" s="124">
        <v>-6506.2252301813587</v>
      </c>
      <c r="I21" s="124">
        <v>16446.044876239015</v>
      </c>
    </row>
    <row r="22" spans="1:9" ht="17" x14ac:dyDescent="0.25">
      <c r="A22" t="s">
        <v>665</v>
      </c>
      <c r="B22" s="124">
        <v>4970.5766363222365</v>
      </c>
      <c r="C22" s="124">
        <v>5743.0193400844973</v>
      </c>
      <c r="D22" s="124">
        <v>0.86549885033977692</v>
      </c>
      <c r="E22" s="124">
        <v>0.39004901959951699</v>
      </c>
      <c r="F22" s="124">
        <v>-6505.9316321798515</v>
      </c>
      <c r="G22" s="124">
        <v>16447.084904824325</v>
      </c>
      <c r="H22" s="124">
        <v>-6505.9316321798515</v>
      </c>
      <c r="I22" s="124">
        <v>16447.084904824325</v>
      </c>
    </row>
    <row r="23" spans="1:9" ht="17" x14ac:dyDescent="0.25">
      <c r="A23" t="s">
        <v>666</v>
      </c>
      <c r="B23" s="124">
        <v>4969.7621754311194</v>
      </c>
      <c r="C23" s="124">
        <v>5742.8398753884094</v>
      </c>
      <c r="D23" s="124">
        <v>0.86538407534739004</v>
      </c>
      <c r="E23" s="124">
        <v>0.39011151038172942</v>
      </c>
      <c r="F23" s="124">
        <v>-6506.3874614964261</v>
      </c>
      <c r="G23" s="124">
        <v>16445.911812358667</v>
      </c>
      <c r="H23" s="124">
        <v>-6506.3874614964261</v>
      </c>
      <c r="I23" s="124">
        <v>16445.911812358667</v>
      </c>
    </row>
    <row r="24" spans="1:9" ht="17" x14ac:dyDescent="0.25">
      <c r="A24" t="s">
        <v>667</v>
      </c>
      <c r="B24" s="124">
        <v>4969.8456345870227</v>
      </c>
      <c r="C24" s="124">
        <v>5742.8309292424028</v>
      </c>
      <c r="D24" s="124">
        <v>0.86539995619245003</v>
      </c>
      <c r="E24" s="124">
        <v>0.39010286347141765</v>
      </c>
      <c r="F24" s="124">
        <v>-6506.2861248944382</v>
      </c>
      <c r="G24" s="124">
        <v>16445.977394068483</v>
      </c>
      <c r="H24" s="124">
        <v>-6506.2861248944382</v>
      </c>
      <c r="I24" s="124">
        <v>16445.977394068483</v>
      </c>
    </row>
    <row r="25" spans="1:9" ht="17" x14ac:dyDescent="0.25">
      <c r="A25" t="s">
        <v>668</v>
      </c>
      <c r="B25" s="124">
        <v>4969.8027043418933</v>
      </c>
      <c r="C25" s="124">
        <v>5742.8303353751335</v>
      </c>
      <c r="D25" s="124">
        <v>0.86539257023292426</v>
      </c>
      <c r="E25" s="124">
        <v>0.39010688501395074</v>
      </c>
      <c r="F25" s="124">
        <v>-6506.3278683905382</v>
      </c>
      <c r="G25" s="124">
        <v>16445.933277074324</v>
      </c>
      <c r="H25" s="124">
        <v>-6506.3278683905382</v>
      </c>
      <c r="I25" s="124">
        <v>16445.933277074324</v>
      </c>
    </row>
    <row r="26" spans="1:9" ht="17" x14ac:dyDescent="0.25">
      <c r="A26" t="s">
        <v>669</v>
      </c>
      <c r="B26" s="124">
        <v>4969.8672109249028</v>
      </c>
      <c r="C26" s="124">
        <v>5742.8307861584344</v>
      </c>
      <c r="D26" s="124">
        <v>0.86540373484509514</v>
      </c>
      <c r="E26" s="124">
        <v>0.39010080606253894</v>
      </c>
      <c r="F26" s="124">
        <v>-6506.2642626260658</v>
      </c>
      <c r="G26" s="124">
        <v>16445.998684475871</v>
      </c>
      <c r="H26" s="124">
        <v>-6506.2642626260658</v>
      </c>
      <c r="I26" s="124">
        <v>16445.998684475871</v>
      </c>
    </row>
    <row r="27" spans="1:9" ht="18" thickBot="1" x14ac:dyDescent="0.3">
      <c r="A27" s="44" t="s">
        <v>670</v>
      </c>
      <c r="B27" s="123">
        <v>4969.3476191472982</v>
      </c>
      <c r="C27" s="123">
        <v>5742.8541517053191</v>
      </c>
      <c r="D27" s="123">
        <v>0.86530973761046481</v>
      </c>
      <c r="E27" s="123">
        <v>0.39015198788360883</v>
      </c>
      <c r="F27" s="123">
        <v>-6506.8305467228392</v>
      </c>
      <c r="G27" s="123">
        <v>16445.525785017435</v>
      </c>
      <c r="H27" s="123">
        <v>-6506.8305467228392</v>
      </c>
      <c r="I27" s="123">
        <v>16445.525785017435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Info</vt:lpstr>
      <vt:lpstr>Data and calc.</vt:lpstr>
      <vt:lpstr>Weights</vt:lpstr>
      <vt:lpstr>Eq. 3 coef.</vt:lpstr>
      <vt:lpstr>Eq. 4 coef.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Anonymous</cp:lastModifiedBy>
  <dcterms:created xsi:type="dcterms:W3CDTF">2023-04-21T17:18:01Z</dcterms:created>
  <dcterms:modified xsi:type="dcterms:W3CDTF">2025-07-25T04:13:45Z</dcterms:modified>
</cp:coreProperties>
</file>